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makewayenviro-my.sharepoint.com/personal/bert_makewayenviro_onmicrosoft_com/Documents/Documents/A1, Bert's Files/Enviro-Septic Configurations/Configurators, Jan 30, 2025/"/>
    </mc:Choice>
  </mc:AlternateContent>
  <xr:revisionPtr revIDLastSave="989" documentId="13_ncr:1_{A9C51528-9454-4362-994B-48D7D3A64DF6}" xr6:coauthVersionLast="47" xr6:coauthVersionMax="47" xr10:uidLastSave="{52E3B4A3-FF5F-490F-A8A3-19BEC83F6D10}"/>
  <workbookProtection workbookAlgorithmName="SHA-512" workbookHashValue="WAr1x7o6jEa8SX7LIw7EoY1/CIZEWdteW7kIfdpfWLshaWibMAGXWQMmN/L1FKJVOYwUAhEbY7UBPimfHxW2UA==" workbookSaltValue="3pRB9AxRc7qIlLCEVeUY3A==" workbookSpinCount="100000" lockStructure="1"/>
  <bookViews>
    <workbookView xWindow="-108" yWindow="-108" windowWidth="23256" windowHeight="13896" tabRatio="868" xr2:uid="{00000000-000D-0000-FFFF-FFFF00000000}"/>
  </bookViews>
  <sheets>
    <sheet name="ESP Leaching Bed" sheetId="13" r:id="rId1"/>
    <sheet name="Calcul minimum length" sheetId="18" state="hidden" r:id="rId2"/>
    <sheet name="Summary - Leaching Bed" sheetId="14" r:id="rId3"/>
    <sheet name="Quantity" sheetId="16" r:id="rId4"/>
    <sheet name="Pump calculator" sheetId="24" r:id="rId5"/>
    <sheet name="Calculs - Perte de charge" sheetId="26" state="hidden" r:id="rId6"/>
    <sheet name="LATtab" sheetId="27" state="hidden" r:id="rId7"/>
    <sheet name="Courbes de pompes" sheetId="25" state="hidden" r:id="rId8"/>
    <sheet name="valeurs pompes" sheetId="29" state="hidden" r:id="rId9"/>
  </sheets>
  <definedNames>
    <definedName name="__xlchart.v1.0" hidden="1">#REF!</definedName>
    <definedName name="__xlchart.v1.1" hidden="1">#REF!</definedName>
    <definedName name="_xlnm.Print_Area" localSheetId="0">#N/A</definedName>
    <definedName name="_xlnm.Print_Area" localSheetId="2">'Summary - Leaching Bed'!$A$1:$O$103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3" l="1"/>
  <c r="C15" i="13"/>
  <c r="F21" i="29"/>
  <c r="E21" i="29"/>
  <c r="D21" i="29"/>
  <c r="C21" i="29"/>
  <c r="F20" i="29"/>
  <c r="E20" i="29"/>
  <c r="D20" i="29"/>
  <c r="C20" i="29"/>
  <c r="F19" i="29"/>
  <c r="E19" i="29"/>
  <c r="D19" i="29"/>
  <c r="C19" i="29"/>
  <c r="F18" i="29"/>
  <c r="E18" i="29"/>
  <c r="D18" i="29"/>
  <c r="C18" i="29"/>
  <c r="F17" i="29"/>
  <c r="E17" i="29"/>
  <c r="D17" i="29"/>
  <c r="C17" i="29"/>
  <c r="F16" i="29"/>
  <c r="E16" i="29"/>
  <c r="D16" i="29"/>
  <c r="C16" i="29"/>
  <c r="F15" i="29"/>
  <c r="E15" i="29"/>
  <c r="D15" i="29"/>
  <c r="C15" i="29"/>
  <c r="F14" i="29"/>
  <c r="E14" i="29"/>
  <c r="D14" i="29"/>
  <c r="C14" i="29"/>
  <c r="F13" i="29"/>
  <c r="E13" i="29"/>
  <c r="D13" i="29"/>
  <c r="C13" i="29"/>
  <c r="F12" i="29"/>
  <c r="E12" i="29"/>
  <c r="D12" i="29"/>
  <c r="C12" i="29"/>
  <c r="F11" i="29"/>
  <c r="E11" i="29"/>
  <c r="D11" i="29"/>
  <c r="C11" i="29"/>
  <c r="F10" i="29"/>
  <c r="E10" i="29"/>
  <c r="D10" i="29"/>
  <c r="C10" i="29"/>
  <c r="B21" i="24" l="1"/>
  <c r="B20" i="24"/>
  <c r="I12" i="26"/>
  <c r="B110" i="25" l="1"/>
  <c r="B19" i="24"/>
  <c r="B108" i="25"/>
  <c r="E11" i="13"/>
  <c r="L40" i="26"/>
  <c r="B18" i="24"/>
  <c r="C12" i="26"/>
  <c r="E13" i="13" l="1"/>
  <c r="B60" i="14"/>
  <c r="B58" i="14"/>
  <c r="C34" i="13"/>
  <c r="F20" i="14"/>
  <c r="E30" i="14" s="1"/>
  <c r="F18" i="14"/>
  <c r="O43" i="14" s="1"/>
  <c r="C31" i="26" l="1"/>
  <c r="C33" i="26" s="1"/>
  <c r="B32" i="24" s="1"/>
  <c r="C25" i="26"/>
  <c r="C24" i="26"/>
  <c r="B13" i="24"/>
  <c r="B8" i="24"/>
  <c r="B9" i="24" s="1"/>
  <c r="B14" i="24" s="1"/>
  <c r="L19" i="26"/>
  <c r="C7" i="26"/>
  <c r="O92" i="14"/>
  <c r="O90" i="14"/>
  <c r="L5" i="26" l="1"/>
  <c r="L16" i="26" s="1"/>
  <c r="O17" i="26" s="1"/>
  <c r="C11" i="26" s="1"/>
  <c r="B22" i="24"/>
  <c r="C27" i="26"/>
  <c r="B33" i="24" s="1"/>
  <c r="C176" i="27"/>
  <c r="C166" i="27"/>
  <c r="C165" i="27"/>
  <c r="C164" i="27"/>
  <c r="C163" i="27"/>
  <c r="C162" i="27"/>
  <c r="C161" i="27"/>
  <c r="C160" i="27"/>
  <c r="C159" i="27"/>
  <c r="C158" i="27"/>
  <c r="C157" i="27"/>
  <c r="C156" i="27"/>
  <c r="C155" i="27"/>
  <c r="C154" i="27"/>
  <c r="C153" i="27"/>
  <c r="C152" i="27"/>
  <c r="C151" i="27"/>
  <c r="C150" i="27"/>
  <c r="C149" i="27"/>
  <c r="C148" i="27"/>
  <c r="C147" i="27"/>
  <c r="C146" i="27"/>
  <c r="C145" i="27"/>
  <c r="C144" i="27"/>
  <c r="C143" i="27"/>
  <c r="C142" i="27"/>
  <c r="C141" i="27"/>
  <c r="C140" i="27"/>
  <c r="C139" i="27"/>
  <c r="C138" i="27"/>
  <c r="C137" i="27"/>
  <c r="C136" i="27"/>
  <c r="C135" i="27"/>
  <c r="C134" i="27"/>
  <c r="C133" i="27"/>
  <c r="C132" i="27"/>
  <c r="C249" i="27"/>
  <c r="C247" i="27"/>
  <c r="C245" i="27"/>
  <c r="C243" i="27"/>
  <c r="C241" i="27"/>
  <c r="C239" i="27"/>
  <c r="C237" i="27"/>
  <c r="C235" i="27"/>
  <c r="C233" i="27"/>
  <c r="C231" i="27"/>
  <c r="C229" i="27"/>
  <c r="C227" i="27"/>
  <c r="C225" i="27"/>
  <c r="C223" i="27"/>
  <c r="C221" i="27"/>
  <c r="C219" i="27"/>
  <c r="C217" i="27"/>
  <c r="C215" i="27"/>
  <c r="C213" i="27"/>
  <c r="C211" i="27"/>
  <c r="C209" i="27"/>
  <c r="C207" i="27"/>
  <c r="C205" i="27"/>
  <c r="C203" i="27"/>
  <c r="C201" i="27"/>
  <c r="C199" i="27"/>
  <c r="C197" i="27"/>
  <c r="C195" i="27"/>
  <c r="C193" i="27"/>
  <c r="C191" i="27"/>
  <c r="C189" i="27"/>
  <c r="C187" i="27"/>
  <c r="C185" i="27"/>
  <c r="C183" i="27"/>
  <c r="C181" i="27"/>
  <c r="C179" i="27"/>
  <c r="C171" i="27"/>
  <c r="C167" i="27"/>
  <c r="C174" i="27"/>
  <c r="C177" i="27"/>
  <c r="C168" i="27"/>
  <c r="C172" i="27"/>
  <c r="C250" i="27"/>
  <c r="C248" i="27"/>
  <c r="C246" i="27"/>
  <c r="C244" i="27"/>
  <c r="C242" i="27"/>
  <c r="C240" i="27"/>
  <c r="C238" i="27"/>
  <c r="C236" i="27"/>
  <c r="C234" i="27"/>
  <c r="C232" i="27"/>
  <c r="C230" i="27"/>
  <c r="C228" i="27"/>
  <c r="C226" i="27"/>
  <c r="C224" i="27"/>
  <c r="C222" i="27"/>
  <c r="C220" i="27"/>
  <c r="C218" i="27"/>
  <c r="C216" i="27"/>
  <c r="C214" i="27"/>
  <c r="C212" i="27"/>
  <c r="C210" i="27"/>
  <c r="C208" i="27"/>
  <c r="C206" i="27"/>
  <c r="C204" i="27"/>
  <c r="C202" i="27"/>
  <c r="C200" i="27"/>
  <c r="C198" i="27"/>
  <c r="C196" i="27"/>
  <c r="C194" i="27"/>
  <c r="C192" i="27"/>
  <c r="C190" i="27"/>
  <c r="C188" i="27"/>
  <c r="C186" i="27"/>
  <c r="C184" i="27"/>
  <c r="C182" i="27"/>
  <c r="C180" i="27"/>
  <c r="C175" i="27"/>
  <c r="C169" i="27"/>
  <c r="C178" i="27"/>
  <c r="C173" i="27"/>
  <c r="C170" i="27"/>
  <c r="C129" i="27"/>
  <c r="C127" i="27"/>
  <c r="C131" i="27"/>
  <c r="C124" i="27"/>
  <c r="C123" i="27"/>
  <c r="C122" i="27"/>
  <c r="C121" i="27"/>
  <c r="C120" i="27"/>
  <c r="C119" i="27"/>
  <c r="C118" i="27"/>
  <c r="C117" i="27"/>
  <c r="C116" i="27"/>
  <c r="C115" i="27"/>
  <c r="C114" i="27"/>
  <c r="C113" i="27"/>
  <c r="C112" i="27"/>
  <c r="C111" i="27"/>
  <c r="C110" i="27"/>
  <c r="C109" i="27"/>
  <c r="C108" i="27"/>
  <c r="C107" i="27"/>
  <c r="C106" i="27"/>
  <c r="C105" i="27"/>
  <c r="C104" i="27"/>
  <c r="C103" i="27"/>
  <c r="C102" i="27"/>
  <c r="C101" i="27"/>
  <c r="C100" i="27"/>
  <c r="C99" i="27"/>
  <c r="C98" i="27"/>
  <c r="C97" i="27"/>
  <c r="C96" i="27"/>
  <c r="C95" i="27"/>
  <c r="C94" i="27"/>
  <c r="C93" i="27"/>
  <c r="C92" i="27"/>
  <c r="C91" i="27"/>
  <c r="C90" i="27"/>
  <c r="C89" i="27"/>
  <c r="C88" i="27"/>
  <c r="C87" i="27"/>
  <c r="C86" i="27"/>
  <c r="C85" i="27"/>
  <c r="C84" i="27"/>
  <c r="C83" i="27"/>
  <c r="C82" i="27"/>
  <c r="C81" i="27"/>
  <c r="C80" i="27"/>
  <c r="C79" i="27"/>
  <c r="C78" i="27"/>
  <c r="C77" i="27"/>
  <c r="C125" i="27"/>
  <c r="C72" i="27"/>
  <c r="C64" i="27"/>
  <c r="C56" i="27"/>
  <c r="C12" i="27"/>
  <c r="C73" i="27"/>
  <c r="C65" i="27"/>
  <c r="C57" i="27"/>
  <c r="C11" i="27"/>
  <c r="C126" i="27"/>
  <c r="C74" i="27"/>
  <c r="C66" i="27"/>
  <c r="C58" i="27"/>
  <c r="C76" i="27"/>
  <c r="C68" i="27"/>
  <c r="C60" i="27"/>
  <c r="C8" i="27"/>
  <c r="C130" i="27"/>
  <c r="C69" i="27"/>
  <c r="C61" i="27"/>
  <c r="C53" i="27"/>
  <c r="C52" i="27"/>
  <c r="C51" i="27"/>
  <c r="C50" i="27"/>
  <c r="C49" i="27"/>
  <c r="C48" i="27"/>
  <c r="C47" i="27"/>
  <c r="C46" i="27"/>
  <c r="C45" i="27"/>
  <c r="C44" i="27"/>
  <c r="C43" i="27"/>
  <c r="C42" i="27"/>
  <c r="C41" i="27"/>
  <c r="C40" i="27"/>
  <c r="C39" i="27"/>
  <c r="C38" i="27"/>
  <c r="C37" i="27"/>
  <c r="C36" i="27"/>
  <c r="C35" i="27"/>
  <c r="C34" i="27"/>
  <c r="C33" i="27"/>
  <c r="C32" i="27"/>
  <c r="C31" i="27"/>
  <c r="C30" i="27"/>
  <c r="C29" i="27"/>
  <c r="C28" i="27"/>
  <c r="C27" i="27"/>
  <c r="C26" i="27"/>
  <c r="C25" i="27"/>
  <c r="C24" i="27"/>
  <c r="C23" i="27"/>
  <c r="C22" i="27"/>
  <c r="C21" i="27"/>
  <c r="C20" i="27"/>
  <c r="C19" i="27"/>
  <c r="C18" i="27"/>
  <c r="C17" i="27"/>
  <c r="C16" i="27"/>
  <c r="C15" i="27"/>
  <c r="C70" i="27"/>
  <c r="C67" i="27"/>
  <c r="C55" i="27"/>
  <c r="C3" i="27"/>
  <c r="C2" i="27"/>
  <c r="C62" i="27"/>
  <c r="C128" i="27"/>
  <c r="C59" i="27"/>
  <c r="C71" i="27"/>
  <c r="C5" i="27"/>
  <c r="C54" i="27"/>
  <c r="C14" i="27"/>
  <c r="C75" i="27"/>
  <c r="C63" i="27"/>
  <c r="C13" i="27"/>
  <c r="C7" i="27"/>
  <c r="C10" i="27"/>
  <c r="C9" i="27"/>
  <c r="C6" i="27"/>
  <c r="C4" i="27"/>
  <c r="H31" i="27" l="1"/>
  <c r="G31" i="27"/>
  <c r="F31" i="27"/>
  <c r="D31" i="27"/>
  <c r="E31" i="27"/>
  <c r="G64" i="27"/>
  <c r="F64" i="27"/>
  <c r="D64" i="27"/>
  <c r="H64" i="27"/>
  <c r="E64" i="27"/>
  <c r="G106" i="27"/>
  <c r="F106" i="27"/>
  <c r="E106" i="27"/>
  <c r="H106" i="27"/>
  <c r="D106" i="27"/>
  <c r="F190" i="27"/>
  <c r="E190" i="27"/>
  <c r="H190" i="27"/>
  <c r="G190" i="27"/>
  <c r="D190" i="27"/>
  <c r="F238" i="27"/>
  <c r="E238" i="27"/>
  <c r="H238" i="27"/>
  <c r="G238" i="27"/>
  <c r="D238" i="27"/>
  <c r="F201" i="27"/>
  <c r="E201" i="27"/>
  <c r="D201" i="27"/>
  <c r="H201" i="27"/>
  <c r="G201" i="27"/>
  <c r="H139" i="27"/>
  <c r="G139" i="27"/>
  <c r="F139" i="27"/>
  <c r="E139" i="27"/>
  <c r="D139" i="27"/>
  <c r="H128" i="27"/>
  <c r="G128" i="27"/>
  <c r="E128" i="27"/>
  <c r="F128" i="27"/>
  <c r="D128" i="27"/>
  <c r="H48" i="27"/>
  <c r="G48" i="27"/>
  <c r="F48" i="27"/>
  <c r="D48" i="27"/>
  <c r="E48" i="27"/>
  <c r="G91" i="27"/>
  <c r="F91" i="27"/>
  <c r="E91" i="27"/>
  <c r="H91" i="27"/>
  <c r="D91" i="27"/>
  <c r="E169" i="27"/>
  <c r="H169" i="27"/>
  <c r="G169" i="27"/>
  <c r="F169" i="27"/>
  <c r="D169" i="27"/>
  <c r="F177" i="27"/>
  <c r="E177" i="27"/>
  <c r="H177" i="27"/>
  <c r="G177" i="27"/>
  <c r="D177" i="27"/>
  <c r="F235" i="27"/>
  <c r="E235" i="27"/>
  <c r="D235" i="27"/>
  <c r="H235" i="27"/>
  <c r="G235" i="27"/>
  <c r="H132" i="27"/>
  <c r="G132" i="27"/>
  <c r="E132" i="27"/>
  <c r="D132" i="27"/>
  <c r="F132" i="27"/>
  <c r="H33" i="27"/>
  <c r="G33" i="27"/>
  <c r="F33" i="27"/>
  <c r="D33" i="27"/>
  <c r="E33" i="27"/>
  <c r="G116" i="27"/>
  <c r="F116" i="27"/>
  <c r="E116" i="27"/>
  <c r="D116" i="27"/>
  <c r="H116" i="27"/>
  <c r="F210" i="27"/>
  <c r="E210" i="27"/>
  <c r="H210" i="27"/>
  <c r="G210" i="27"/>
  <c r="D210" i="27"/>
  <c r="F174" i="27"/>
  <c r="E174" i="27"/>
  <c r="G174" i="27"/>
  <c r="D174" i="27"/>
  <c r="H174" i="27"/>
  <c r="F189" i="27"/>
  <c r="E189" i="27"/>
  <c r="D189" i="27"/>
  <c r="H189" i="27"/>
  <c r="G189" i="27"/>
  <c r="F221" i="27"/>
  <c r="E221" i="27"/>
  <c r="D221" i="27"/>
  <c r="H221" i="27"/>
  <c r="G221" i="27"/>
  <c r="F237" i="27"/>
  <c r="E237" i="27"/>
  <c r="D237" i="27"/>
  <c r="H237" i="27"/>
  <c r="G237" i="27"/>
  <c r="H165" i="27"/>
  <c r="G165" i="27"/>
  <c r="F165" i="27"/>
  <c r="E165" i="27"/>
  <c r="D165" i="27"/>
  <c r="F75" i="27"/>
  <c r="E75" i="27"/>
  <c r="D75" i="27"/>
  <c r="H75" i="27"/>
  <c r="G75" i="27"/>
  <c r="E2" i="27"/>
  <c r="F2" i="27" s="1"/>
  <c r="G2" i="27" s="1"/>
  <c r="H26" i="27"/>
  <c r="G26" i="27"/>
  <c r="F26" i="27"/>
  <c r="D26" i="27"/>
  <c r="E26" i="27"/>
  <c r="H34" i="27"/>
  <c r="G34" i="27"/>
  <c r="F34" i="27"/>
  <c r="D34" i="27"/>
  <c r="E34" i="27"/>
  <c r="H42" i="27"/>
  <c r="G42" i="27"/>
  <c r="F42" i="27"/>
  <c r="D42" i="27"/>
  <c r="E42" i="27"/>
  <c r="H50" i="27"/>
  <c r="G50" i="27"/>
  <c r="F50" i="27"/>
  <c r="D50" i="27"/>
  <c r="E50" i="27"/>
  <c r="G60" i="27"/>
  <c r="F60" i="27"/>
  <c r="E60" i="27"/>
  <c r="H60" i="27"/>
  <c r="D60" i="27"/>
  <c r="D57" i="27"/>
  <c r="H57" i="27"/>
  <c r="G57" i="27"/>
  <c r="F57" i="27"/>
  <c r="E57" i="27"/>
  <c r="G77" i="27"/>
  <c r="E77" i="27"/>
  <c r="H77" i="27"/>
  <c r="F77" i="27"/>
  <c r="D77" i="27"/>
  <c r="G85" i="27"/>
  <c r="E85" i="27"/>
  <c r="H85" i="27"/>
  <c r="F85" i="27"/>
  <c r="D85" i="27"/>
  <c r="G93" i="27"/>
  <c r="F93" i="27"/>
  <c r="E93" i="27"/>
  <c r="D93" i="27"/>
  <c r="H93" i="27"/>
  <c r="G101" i="27"/>
  <c r="F101" i="27"/>
  <c r="E101" i="27"/>
  <c r="D101" i="27"/>
  <c r="H101" i="27"/>
  <c r="G109" i="27"/>
  <c r="F109" i="27"/>
  <c r="E109" i="27"/>
  <c r="D109" i="27"/>
  <c r="H109" i="27"/>
  <c r="G117" i="27"/>
  <c r="F117" i="27"/>
  <c r="E117" i="27"/>
  <c r="D117" i="27"/>
  <c r="H117" i="27"/>
  <c r="H131" i="27"/>
  <c r="G131" i="27"/>
  <c r="E131" i="27"/>
  <c r="F131" i="27"/>
  <c r="D131" i="27"/>
  <c r="F180" i="27"/>
  <c r="E180" i="27"/>
  <c r="H180" i="27"/>
  <c r="G180" i="27"/>
  <c r="D180" i="27"/>
  <c r="F196" i="27"/>
  <c r="E196" i="27"/>
  <c r="H196" i="27"/>
  <c r="G196" i="27"/>
  <c r="D196" i="27"/>
  <c r="F212" i="27"/>
  <c r="E212" i="27"/>
  <c r="H212" i="27"/>
  <c r="G212" i="27"/>
  <c r="D212" i="27"/>
  <c r="F228" i="27"/>
  <c r="E228" i="27"/>
  <c r="H228" i="27"/>
  <c r="G228" i="27"/>
  <c r="D228" i="27"/>
  <c r="F244" i="27"/>
  <c r="E244" i="27"/>
  <c r="H244" i="27"/>
  <c r="G244" i="27"/>
  <c r="D244" i="27"/>
  <c r="E167" i="27"/>
  <c r="D167" i="27"/>
  <c r="H167" i="27"/>
  <c r="G167" i="27"/>
  <c r="F167" i="27"/>
  <c r="F191" i="27"/>
  <c r="E191" i="27"/>
  <c r="D191" i="27"/>
  <c r="H191" i="27"/>
  <c r="G191" i="27"/>
  <c r="F207" i="27"/>
  <c r="E207" i="27"/>
  <c r="D207" i="27"/>
  <c r="H207" i="27"/>
  <c r="G207" i="27"/>
  <c r="F223" i="27"/>
  <c r="E223" i="27"/>
  <c r="D223" i="27"/>
  <c r="H223" i="27"/>
  <c r="G223" i="27"/>
  <c r="F239" i="27"/>
  <c r="E239" i="27"/>
  <c r="D239" i="27"/>
  <c r="H239" i="27"/>
  <c r="G239" i="27"/>
  <c r="H134" i="27"/>
  <c r="G134" i="27"/>
  <c r="F134" i="27"/>
  <c r="E134" i="27"/>
  <c r="D134" i="27"/>
  <c r="H142" i="27"/>
  <c r="G142" i="27"/>
  <c r="F142" i="27"/>
  <c r="E142" i="27"/>
  <c r="D142" i="27"/>
  <c r="H150" i="27"/>
  <c r="G150" i="27"/>
  <c r="F150" i="27"/>
  <c r="E150" i="27"/>
  <c r="D150" i="27"/>
  <c r="H158" i="27"/>
  <c r="G158" i="27"/>
  <c r="F158" i="27"/>
  <c r="E158" i="27"/>
  <c r="D158" i="27"/>
  <c r="H166" i="27"/>
  <c r="G166" i="27"/>
  <c r="F166" i="27"/>
  <c r="E166" i="27"/>
  <c r="D166" i="27"/>
  <c r="F23" i="27"/>
  <c r="E74" i="27"/>
  <c r="D74" i="27"/>
  <c r="H74" i="27"/>
  <c r="F74" i="27"/>
  <c r="G74" i="27"/>
  <c r="G98" i="27"/>
  <c r="F98" i="27"/>
  <c r="E98" i="27"/>
  <c r="H98" i="27"/>
  <c r="D98" i="27"/>
  <c r="F178" i="27"/>
  <c r="E178" i="27"/>
  <c r="H178" i="27"/>
  <c r="G178" i="27"/>
  <c r="D178" i="27"/>
  <c r="E168" i="27"/>
  <c r="G168" i="27"/>
  <c r="F168" i="27"/>
  <c r="D168" i="27"/>
  <c r="H168" i="27"/>
  <c r="F233" i="27"/>
  <c r="E233" i="27"/>
  <c r="D233" i="27"/>
  <c r="H233" i="27"/>
  <c r="G233" i="27"/>
  <c r="H147" i="27"/>
  <c r="G147" i="27"/>
  <c r="F147" i="27"/>
  <c r="E147" i="27"/>
  <c r="D147" i="27"/>
  <c r="H32" i="27"/>
  <c r="G32" i="27"/>
  <c r="F32" i="27"/>
  <c r="D32" i="27"/>
  <c r="E32" i="27"/>
  <c r="G126" i="27"/>
  <c r="E126" i="27"/>
  <c r="H126" i="27"/>
  <c r="F126" i="27"/>
  <c r="D126" i="27"/>
  <c r="G115" i="27"/>
  <c r="F115" i="27"/>
  <c r="E115" i="27"/>
  <c r="D115" i="27"/>
  <c r="H115" i="27"/>
  <c r="F224" i="27"/>
  <c r="E224" i="27"/>
  <c r="H224" i="27"/>
  <c r="G224" i="27"/>
  <c r="D224" i="27"/>
  <c r="H148" i="27"/>
  <c r="G148" i="27"/>
  <c r="F148" i="27"/>
  <c r="E148" i="27"/>
  <c r="D148" i="27"/>
  <c r="H62" i="27"/>
  <c r="G62" i="27"/>
  <c r="E62" i="27"/>
  <c r="D62" i="27"/>
  <c r="F62" i="27"/>
  <c r="H49" i="27"/>
  <c r="G49" i="27"/>
  <c r="F49" i="27"/>
  <c r="D49" i="27"/>
  <c r="E49" i="27"/>
  <c r="G92" i="27"/>
  <c r="F92" i="27"/>
  <c r="E92" i="27"/>
  <c r="H92" i="27"/>
  <c r="D92" i="27"/>
  <c r="F175" i="27"/>
  <c r="E175" i="27"/>
  <c r="H175" i="27"/>
  <c r="G175" i="27"/>
  <c r="D175" i="27"/>
  <c r="H149" i="27"/>
  <c r="G149" i="27"/>
  <c r="F149" i="27"/>
  <c r="E149" i="27"/>
  <c r="D149" i="27"/>
  <c r="H3" i="27"/>
  <c r="H4" i="27" s="1"/>
  <c r="H5" i="27" s="1"/>
  <c r="H6" i="27" s="1"/>
  <c r="H7" i="27" s="1"/>
  <c r="H8" i="27" s="1"/>
  <c r="H9" i="27" s="1"/>
  <c r="H10" i="27" s="1"/>
  <c r="H11" i="27" s="1"/>
  <c r="H12" i="27" s="1"/>
  <c r="H13" i="27" s="1"/>
  <c r="H14" i="27" s="1"/>
  <c r="H15" i="27" s="1"/>
  <c r="H16" i="27" s="1"/>
  <c r="H17" i="27" s="1"/>
  <c r="H18" i="27" s="1"/>
  <c r="H19" i="27" s="1"/>
  <c r="H20" i="27" s="1"/>
  <c r="H21" i="27" s="1"/>
  <c r="H27" i="27"/>
  <c r="G27" i="27"/>
  <c r="F27" i="27"/>
  <c r="D27" i="27"/>
  <c r="E27" i="27"/>
  <c r="H35" i="27"/>
  <c r="G35" i="27"/>
  <c r="F35" i="27"/>
  <c r="D35" i="27"/>
  <c r="E35" i="27"/>
  <c r="H43" i="27"/>
  <c r="G43" i="27"/>
  <c r="F43" i="27"/>
  <c r="D43" i="27"/>
  <c r="E43" i="27"/>
  <c r="H51" i="27"/>
  <c r="G51" i="27"/>
  <c r="F51" i="27"/>
  <c r="D51" i="27"/>
  <c r="E51" i="27"/>
  <c r="G68" i="27"/>
  <c r="F68" i="27"/>
  <c r="E68" i="27"/>
  <c r="D68" i="27"/>
  <c r="H68" i="27"/>
  <c r="D65" i="27"/>
  <c r="H65" i="27"/>
  <c r="G65" i="27"/>
  <c r="E65" i="27"/>
  <c r="F65" i="27"/>
  <c r="G78" i="27"/>
  <c r="E78" i="27"/>
  <c r="H78" i="27"/>
  <c r="F78" i="27"/>
  <c r="D78" i="27"/>
  <c r="G86" i="27"/>
  <c r="E86" i="27"/>
  <c r="H86" i="27"/>
  <c r="F86" i="27"/>
  <c r="D86" i="27"/>
  <c r="G94" i="27"/>
  <c r="F94" i="27"/>
  <c r="E94" i="27"/>
  <c r="H94" i="27"/>
  <c r="D94" i="27"/>
  <c r="G102" i="27"/>
  <c r="F102" i="27"/>
  <c r="E102" i="27"/>
  <c r="H102" i="27"/>
  <c r="D102" i="27"/>
  <c r="G110" i="27"/>
  <c r="F110" i="27"/>
  <c r="E110" i="27"/>
  <c r="H110" i="27"/>
  <c r="D110" i="27"/>
  <c r="G118" i="27"/>
  <c r="F118" i="27"/>
  <c r="E118" i="27"/>
  <c r="D118" i="27"/>
  <c r="H118" i="27"/>
  <c r="H127" i="27"/>
  <c r="G127" i="27"/>
  <c r="E127" i="27"/>
  <c r="F127" i="27"/>
  <c r="D127" i="27"/>
  <c r="F182" i="27"/>
  <c r="E182" i="27"/>
  <c r="H182" i="27"/>
  <c r="G182" i="27"/>
  <c r="D182" i="27"/>
  <c r="F198" i="27"/>
  <c r="E198" i="27"/>
  <c r="H198" i="27"/>
  <c r="G198" i="27"/>
  <c r="D198" i="27"/>
  <c r="F214" i="27"/>
  <c r="E214" i="27"/>
  <c r="H214" i="27"/>
  <c r="G214" i="27"/>
  <c r="D214" i="27"/>
  <c r="F230" i="27"/>
  <c r="E230" i="27"/>
  <c r="H230" i="27"/>
  <c r="G230" i="27"/>
  <c r="D230" i="27"/>
  <c r="F246" i="27"/>
  <c r="E246" i="27"/>
  <c r="H246" i="27"/>
  <c r="G246" i="27"/>
  <c r="D246" i="27"/>
  <c r="F171" i="27"/>
  <c r="E171" i="27"/>
  <c r="D171" i="27"/>
  <c r="H171" i="27"/>
  <c r="G171" i="27"/>
  <c r="F193" i="27"/>
  <c r="E193" i="27"/>
  <c r="D193" i="27"/>
  <c r="H193" i="27"/>
  <c r="G193" i="27"/>
  <c r="F209" i="27"/>
  <c r="E209" i="27"/>
  <c r="D209" i="27"/>
  <c r="H209" i="27"/>
  <c r="G209" i="27"/>
  <c r="F225" i="27"/>
  <c r="E225" i="27"/>
  <c r="D225" i="27"/>
  <c r="H225" i="27"/>
  <c r="G225" i="27"/>
  <c r="F241" i="27"/>
  <c r="E241" i="27"/>
  <c r="D241" i="27"/>
  <c r="H241" i="27"/>
  <c r="G241" i="27"/>
  <c r="H135" i="27"/>
  <c r="G135" i="27"/>
  <c r="F135" i="27"/>
  <c r="E135" i="27"/>
  <c r="D135" i="27"/>
  <c r="H143" i="27"/>
  <c r="G143" i="27"/>
  <c r="F143" i="27"/>
  <c r="E143" i="27"/>
  <c r="D143" i="27"/>
  <c r="H151" i="27"/>
  <c r="G151" i="27"/>
  <c r="F151" i="27"/>
  <c r="E151" i="27"/>
  <c r="D151" i="27"/>
  <c r="H159" i="27"/>
  <c r="G159" i="27"/>
  <c r="F159" i="27"/>
  <c r="E159" i="27"/>
  <c r="D159" i="27"/>
  <c r="F176" i="27"/>
  <c r="E176" i="27"/>
  <c r="H176" i="27"/>
  <c r="G176" i="27"/>
  <c r="D176" i="27"/>
  <c r="F59" i="27"/>
  <c r="E59" i="27"/>
  <c r="D59" i="27"/>
  <c r="H59" i="27"/>
  <c r="G59" i="27"/>
  <c r="H39" i="27"/>
  <c r="G39" i="27"/>
  <c r="F39" i="27"/>
  <c r="D39" i="27"/>
  <c r="E39" i="27"/>
  <c r="G82" i="27"/>
  <c r="E82" i="27"/>
  <c r="H82" i="27"/>
  <c r="F82" i="27"/>
  <c r="D82" i="27"/>
  <c r="G114" i="27"/>
  <c r="F114" i="27"/>
  <c r="E114" i="27"/>
  <c r="D114" i="27"/>
  <c r="H114" i="27"/>
  <c r="F222" i="27"/>
  <c r="E222" i="27"/>
  <c r="H222" i="27"/>
  <c r="G222" i="27"/>
  <c r="D222" i="27"/>
  <c r="F217" i="27"/>
  <c r="E217" i="27"/>
  <c r="D217" i="27"/>
  <c r="H217" i="27"/>
  <c r="G217" i="27"/>
  <c r="H163" i="27"/>
  <c r="G163" i="27"/>
  <c r="F163" i="27"/>
  <c r="E163" i="27"/>
  <c r="D163" i="27"/>
  <c r="H130" i="27"/>
  <c r="G130" i="27"/>
  <c r="E130" i="27"/>
  <c r="F130" i="27"/>
  <c r="D130" i="27"/>
  <c r="G99" i="27"/>
  <c r="F99" i="27"/>
  <c r="E99" i="27"/>
  <c r="H99" i="27"/>
  <c r="D99" i="27"/>
  <c r="F192" i="27"/>
  <c r="E192" i="27"/>
  <c r="H192" i="27"/>
  <c r="G192" i="27"/>
  <c r="D192" i="27"/>
  <c r="F203" i="27"/>
  <c r="E203" i="27"/>
  <c r="D203" i="27"/>
  <c r="H203" i="27"/>
  <c r="G203" i="27"/>
  <c r="H164" i="27"/>
  <c r="G164" i="27"/>
  <c r="F164" i="27"/>
  <c r="E164" i="27"/>
  <c r="D164" i="27"/>
  <c r="H63" i="27"/>
  <c r="F63" i="27"/>
  <c r="E63" i="27"/>
  <c r="G63" i="27"/>
  <c r="D63" i="27"/>
  <c r="H41" i="27"/>
  <c r="G41" i="27"/>
  <c r="F41" i="27"/>
  <c r="D41" i="27"/>
  <c r="E41" i="27"/>
  <c r="G84" i="27"/>
  <c r="E84" i="27"/>
  <c r="H84" i="27"/>
  <c r="F84" i="27"/>
  <c r="D84" i="27"/>
  <c r="G124" i="27"/>
  <c r="F124" i="27"/>
  <c r="E124" i="27"/>
  <c r="D124" i="27"/>
  <c r="H124" i="27"/>
  <c r="H141" i="27"/>
  <c r="G141" i="27"/>
  <c r="F141" i="27"/>
  <c r="E141" i="27"/>
  <c r="D141" i="27"/>
  <c r="H54" i="27"/>
  <c r="G54" i="27"/>
  <c r="E54" i="27"/>
  <c r="D54" i="27"/>
  <c r="F54" i="27"/>
  <c r="H55" i="27"/>
  <c r="F55" i="27"/>
  <c r="E55" i="27"/>
  <c r="G55" i="27"/>
  <c r="D55" i="27"/>
  <c r="H28" i="27"/>
  <c r="G28" i="27"/>
  <c r="F28" i="27"/>
  <c r="D28" i="27"/>
  <c r="E28" i="27"/>
  <c r="H36" i="27"/>
  <c r="G36" i="27"/>
  <c r="F36" i="27"/>
  <c r="D36" i="27"/>
  <c r="E36" i="27"/>
  <c r="H44" i="27"/>
  <c r="G44" i="27"/>
  <c r="F44" i="27"/>
  <c r="D44" i="27"/>
  <c r="E44" i="27"/>
  <c r="H52" i="27"/>
  <c r="G52" i="27"/>
  <c r="F52" i="27"/>
  <c r="D52" i="27"/>
  <c r="E52" i="27"/>
  <c r="G76" i="27"/>
  <c r="E76" i="27"/>
  <c r="H76" i="27"/>
  <c r="F76" i="27"/>
  <c r="D76" i="27"/>
  <c r="D73" i="27"/>
  <c r="H73" i="27"/>
  <c r="G73" i="27"/>
  <c r="E73" i="27"/>
  <c r="F73" i="27"/>
  <c r="G79" i="27"/>
  <c r="E79" i="27"/>
  <c r="H79" i="27"/>
  <c r="F79" i="27"/>
  <c r="D79" i="27"/>
  <c r="G87" i="27"/>
  <c r="E87" i="27"/>
  <c r="H87" i="27"/>
  <c r="D87" i="27"/>
  <c r="F87" i="27"/>
  <c r="G95" i="27"/>
  <c r="F95" i="27"/>
  <c r="E95" i="27"/>
  <c r="H95" i="27"/>
  <c r="D95" i="27"/>
  <c r="G103" i="27"/>
  <c r="F103" i="27"/>
  <c r="E103" i="27"/>
  <c r="H103" i="27"/>
  <c r="D103" i="27"/>
  <c r="G111" i="27"/>
  <c r="F111" i="27"/>
  <c r="E111" i="27"/>
  <c r="D111" i="27"/>
  <c r="H111" i="27"/>
  <c r="G119" i="27"/>
  <c r="F119" i="27"/>
  <c r="E119" i="27"/>
  <c r="D119" i="27"/>
  <c r="H119" i="27"/>
  <c r="H129" i="27"/>
  <c r="G129" i="27"/>
  <c r="E129" i="27"/>
  <c r="F129" i="27"/>
  <c r="D129" i="27"/>
  <c r="F184" i="27"/>
  <c r="E184" i="27"/>
  <c r="H184" i="27"/>
  <c r="G184" i="27"/>
  <c r="D184" i="27"/>
  <c r="F200" i="27"/>
  <c r="E200" i="27"/>
  <c r="H200" i="27"/>
  <c r="G200" i="27"/>
  <c r="D200" i="27"/>
  <c r="F216" i="27"/>
  <c r="E216" i="27"/>
  <c r="H216" i="27"/>
  <c r="G216" i="27"/>
  <c r="D216" i="27"/>
  <c r="F232" i="27"/>
  <c r="E232" i="27"/>
  <c r="H232" i="27"/>
  <c r="G232" i="27"/>
  <c r="D232" i="27"/>
  <c r="F248" i="27"/>
  <c r="E248" i="27"/>
  <c r="H248" i="27"/>
  <c r="G248" i="27"/>
  <c r="D248" i="27"/>
  <c r="F179" i="27"/>
  <c r="E179" i="27"/>
  <c r="D179" i="27"/>
  <c r="H179" i="27"/>
  <c r="G179" i="27"/>
  <c r="F195" i="27"/>
  <c r="E195" i="27"/>
  <c r="D195" i="27"/>
  <c r="H195" i="27"/>
  <c r="G195" i="27"/>
  <c r="F211" i="27"/>
  <c r="E211" i="27"/>
  <c r="D211" i="27"/>
  <c r="H211" i="27"/>
  <c r="G211" i="27"/>
  <c r="F227" i="27"/>
  <c r="E227" i="27"/>
  <c r="D227" i="27"/>
  <c r="H227" i="27"/>
  <c r="G227" i="27"/>
  <c r="F243" i="27"/>
  <c r="E243" i="27"/>
  <c r="D243" i="27"/>
  <c r="H243" i="27"/>
  <c r="G243" i="27"/>
  <c r="H136" i="27"/>
  <c r="G136" i="27"/>
  <c r="F136" i="27"/>
  <c r="E136" i="27"/>
  <c r="D136" i="27"/>
  <c r="H144" i="27"/>
  <c r="G144" i="27"/>
  <c r="F144" i="27"/>
  <c r="E144" i="27"/>
  <c r="D144" i="27"/>
  <c r="H152" i="27"/>
  <c r="G152" i="27"/>
  <c r="F152" i="27"/>
  <c r="E152" i="27"/>
  <c r="D152" i="27"/>
  <c r="H160" i="27"/>
  <c r="G160" i="27"/>
  <c r="F160" i="27"/>
  <c r="E160" i="27"/>
  <c r="D160" i="27"/>
  <c r="H69" i="27"/>
  <c r="G69" i="27"/>
  <c r="F69" i="27"/>
  <c r="D69" i="27"/>
  <c r="E69" i="27"/>
  <c r="G90" i="27"/>
  <c r="F90" i="27"/>
  <c r="E90" i="27"/>
  <c r="H90" i="27"/>
  <c r="D90" i="27"/>
  <c r="G122" i="27"/>
  <c r="F122" i="27"/>
  <c r="E122" i="27"/>
  <c r="D122" i="27"/>
  <c r="H122" i="27"/>
  <c r="F185" i="27"/>
  <c r="E185" i="27"/>
  <c r="D185" i="27"/>
  <c r="H185" i="27"/>
  <c r="G185" i="27"/>
  <c r="F249" i="27"/>
  <c r="E249" i="27"/>
  <c r="D249" i="27"/>
  <c r="H249" i="27"/>
  <c r="G249" i="27"/>
  <c r="H155" i="27"/>
  <c r="G155" i="27"/>
  <c r="F155" i="27"/>
  <c r="E155" i="27"/>
  <c r="D155" i="27"/>
  <c r="F24" i="27"/>
  <c r="G72" i="27"/>
  <c r="F72" i="27"/>
  <c r="H72" i="27"/>
  <c r="E72" i="27"/>
  <c r="D72" i="27"/>
  <c r="G107" i="27"/>
  <c r="F107" i="27"/>
  <c r="E107" i="27"/>
  <c r="H107" i="27"/>
  <c r="D107" i="27"/>
  <c r="F208" i="27"/>
  <c r="E208" i="27"/>
  <c r="H208" i="27"/>
  <c r="G208" i="27"/>
  <c r="D208" i="27"/>
  <c r="F187" i="27"/>
  <c r="E187" i="27"/>
  <c r="D187" i="27"/>
  <c r="H187" i="27"/>
  <c r="G187" i="27"/>
  <c r="H140" i="27"/>
  <c r="G140" i="27"/>
  <c r="F140" i="27"/>
  <c r="E140" i="27"/>
  <c r="D140" i="27"/>
  <c r="G100" i="27"/>
  <c r="F100" i="27"/>
  <c r="E100" i="27"/>
  <c r="H100" i="27"/>
  <c r="D100" i="27"/>
  <c r="F226" i="27"/>
  <c r="E226" i="27"/>
  <c r="H226" i="27"/>
  <c r="G226" i="27"/>
  <c r="D226" i="27"/>
  <c r="H133" i="27"/>
  <c r="G133" i="27"/>
  <c r="F133" i="27"/>
  <c r="E133" i="27"/>
  <c r="D133" i="27"/>
  <c r="F67" i="27"/>
  <c r="E67" i="27"/>
  <c r="D67" i="27"/>
  <c r="G67" i="27"/>
  <c r="H67" i="27"/>
  <c r="H29" i="27"/>
  <c r="G29" i="27"/>
  <c r="F29" i="27"/>
  <c r="D29" i="27"/>
  <c r="E29" i="27"/>
  <c r="H37" i="27"/>
  <c r="G37" i="27"/>
  <c r="F37" i="27"/>
  <c r="D37" i="27"/>
  <c r="E37" i="27"/>
  <c r="H45" i="27"/>
  <c r="G45" i="27"/>
  <c r="F45" i="27"/>
  <c r="D45" i="27"/>
  <c r="E45" i="27"/>
  <c r="H53" i="27"/>
  <c r="G53" i="27"/>
  <c r="F53" i="27"/>
  <c r="D53" i="27"/>
  <c r="E53" i="27"/>
  <c r="E58" i="27"/>
  <c r="D58" i="27"/>
  <c r="H58" i="27"/>
  <c r="G58" i="27"/>
  <c r="F58" i="27"/>
  <c r="G80" i="27"/>
  <c r="E80" i="27"/>
  <c r="H80" i="27"/>
  <c r="F80" i="27"/>
  <c r="D80" i="27"/>
  <c r="G88" i="27"/>
  <c r="F88" i="27"/>
  <c r="E88" i="27"/>
  <c r="H88" i="27"/>
  <c r="D88" i="27"/>
  <c r="G96" i="27"/>
  <c r="F96" i="27"/>
  <c r="E96" i="27"/>
  <c r="H96" i="27"/>
  <c r="D96" i="27"/>
  <c r="G104" i="27"/>
  <c r="F104" i="27"/>
  <c r="E104" i="27"/>
  <c r="H104" i="27"/>
  <c r="D104" i="27"/>
  <c r="G112" i="27"/>
  <c r="F112" i="27"/>
  <c r="E112" i="27"/>
  <c r="D112" i="27"/>
  <c r="H112" i="27"/>
  <c r="G120" i="27"/>
  <c r="F120" i="27"/>
  <c r="E120" i="27"/>
  <c r="D120" i="27"/>
  <c r="H120" i="27"/>
  <c r="E170" i="27"/>
  <c r="H170" i="27"/>
  <c r="G170" i="27"/>
  <c r="F170" i="27"/>
  <c r="D170" i="27"/>
  <c r="F186" i="27"/>
  <c r="E186" i="27"/>
  <c r="H186" i="27"/>
  <c r="G186" i="27"/>
  <c r="D186" i="27"/>
  <c r="F202" i="27"/>
  <c r="E202" i="27"/>
  <c r="H202" i="27"/>
  <c r="G202" i="27"/>
  <c r="D202" i="27"/>
  <c r="F218" i="27"/>
  <c r="E218" i="27"/>
  <c r="H218" i="27"/>
  <c r="G218" i="27"/>
  <c r="D218" i="27"/>
  <c r="F234" i="27"/>
  <c r="E234" i="27"/>
  <c r="H234" i="27"/>
  <c r="G234" i="27"/>
  <c r="D234" i="27"/>
  <c r="F250" i="27"/>
  <c r="E250" i="27"/>
  <c r="H250" i="27"/>
  <c r="G250" i="27"/>
  <c r="D250" i="27"/>
  <c r="F181" i="27"/>
  <c r="E181" i="27"/>
  <c r="D181" i="27"/>
  <c r="H181" i="27"/>
  <c r="G181" i="27"/>
  <c r="F197" i="27"/>
  <c r="E197" i="27"/>
  <c r="D197" i="27"/>
  <c r="H197" i="27"/>
  <c r="G197" i="27"/>
  <c r="F213" i="27"/>
  <c r="E213" i="27"/>
  <c r="D213" i="27"/>
  <c r="H213" i="27"/>
  <c r="G213" i="27"/>
  <c r="F229" i="27"/>
  <c r="E229" i="27"/>
  <c r="D229" i="27"/>
  <c r="H229" i="27"/>
  <c r="G229" i="27"/>
  <c r="F245" i="27"/>
  <c r="E245" i="27"/>
  <c r="D245" i="27"/>
  <c r="H245" i="27"/>
  <c r="G245" i="27"/>
  <c r="H137" i="27"/>
  <c r="G137" i="27"/>
  <c r="F137" i="27"/>
  <c r="E137" i="27"/>
  <c r="D137" i="27"/>
  <c r="H145" i="27"/>
  <c r="G145" i="27"/>
  <c r="F145" i="27"/>
  <c r="E145" i="27"/>
  <c r="D145" i="27"/>
  <c r="H153" i="27"/>
  <c r="G153" i="27"/>
  <c r="F153" i="27"/>
  <c r="E153" i="27"/>
  <c r="D153" i="27"/>
  <c r="H161" i="27"/>
  <c r="G161" i="27"/>
  <c r="F161" i="27"/>
  <c r="E161" i="27"/>
  <c r="D161" i="27"/>
  <c r="H47" i="27"/>
  <c r="G47" i="27"/>
  <c r="F47" i="27"/>
  <c r="D47" i="27"/>
  <c r="E47" i="27"/>
  <c r="F206" i="27"/>
  <c r="E206" i="27"/>
  <c r="H206" i="27"/>
  <c r="G206" i="27"/>
  <c r="D206" i="27"/>
  <c r="H40" i="27"/>
  <c r="G40" i="27"/>
  <c r="F40" i="27"/>
  <c r="D40" i="27"/>
  <c r="E40" i="27"/>
  <c r="G83" i="27"/>
  <c r="E83" i="27"/>
  <c r="H83" i="27"/>
  <c r="F83" i="27"/>
  <c r="D83" i="27"/>
  <c r="G123" i="27"/>
  <c r="F123" i="27"/>
  <c r="E123" i="27"/>
  <c r="D123" i="27"/>
  <c r="H123" i="27"/>
  <c r="F240" i="27"/>
  <c r="E240" i="27"/>
  <c r="H240" i="27"/>
  <c r="G240" i="27"/>
  <c r="D240" i="27"/>
  <c r="F219" i="27"/>
  <c r="E219" i="27"/>
  <c r="D219" i="27"/>
  <c r="H219" i="27"/>
  <c r="G219" i="27"/>
  <c r="H156" i="27"/>
  <c r="G156" i="27"/>
  <c r="F156" i="27"/>
  <c r="E156" i="27"/>
  <c r="D156" i="27"/>
  <c r="F25" i="27"/>
  <c r="G125" i="27"/>
  <c r="H125" i="27"/>
  <c r="F125" i="27"/>
  <c r="E125" i="27"/>
  <c r="D125" i="27"/>
  <c r="G108" i="27"/>
  <c r="F108" i="27"/>
  <c r="E108" i="27"/>
  <c r="D108" i="27"/>
  <c r="H108" i="27"/>
  <c r="F194" i="27"/>
  <c r="E194" i="27"/>
  <c r="H194" i="27"/>
  <c r="G194" i="27"/>
  <c r="D194" i="27"/>
  <c r="F242" i="27"/>
  <c r="E242" i="27"/>
  <c r="H242" i="27"/>
  <c r="G242" i="27"/>
  <c r="D242" i="27"/>
  <c r="F205" i="27"/>
  <c r="E205" i="27"/>
  <c r="D205" i="27"/>
  <c r="H205" i="27"/>
  <c r="G205" i="27"/>
  <c r="H157" i="27"/>
  <c r="G157" i="27"/>
  <c r="F157" i="27"/>
  <c r="E157" i="27"/>
  <c r="D157" i="27"/>
  <c r="H71" i="27"/>
  <c r="F71" i="27"/>
  <c r="E71" i="27"/>
  <c r="D71" i="27"/>
  <c r="G71" i="27"/>
  <c r="H70" i="27"/>
  <c r="G70" i="27"/>
  <c r="E70" i="27"/>
  <c r="D70" i="27"/>
  <c r="F70" i="27"/>
  <c r="H22" i="27"/>
  <c r="H23" i="27" s="1"/>
  <c r="H24" i="27" s="1"/>
  <c r="H25" i="27" s="1"/>
  <c r="F22" i="27"/>
  <c r="H30" i="27"/>
  <c r="G30" i="27"/>
  <c r="F30" i="27"/>
  <c r="D30" i="27"/>
  <c r="E30" i="27"/>
  <c r="H38" i="27"/>
  <c r="G38" i="27"/>
  <c r="F38" i="27"/>
  <c r="D38" i="27"/>
  <c r="E38" i="27"/>
  <c r="H46" i="27"/>
  <c r="G46" i="27"/>
  <c r="F46" i="27"/>
  <c r="D46" i="27"/>
  <c r="E46" i="27"/>
  <c r="H61" i="27"/>
  <c r="G61" i="27"/>
  <c r="F61" i="27"/>
  <c r="D61" i="27"/>
  <c r="E61" i="27"/>
  <c r="E66" i="27"/>
  <c r="D66" i="27"/>
  <c r="H66" i="27"/>
  <c r="G66" i="27"/>
  <c r="F66" i="27"/>
  <c r="G56" i="27"/>
  <c r="F56" i="27"/>
  <c r="D56" i="27"/>
  <c r="H56" i="27"/>
  <c r="E56" i="27"/>
  <c r="G81" i="27"/>
  <c r="E81" i="27"/>
  <c r="H81" i="27"/>
  <c r="F81" i="27"/>
  <c r="D81" i="27"/>
  <c r="G89" i="27"/>
  <c r="F89" i="27"/>
  <c r="E89" i="27"/>
  <c r="D89" i="27"/>
  <c r="H89" i="27"/>
  <c r="G97" i="27"/>
  <c r="F97" i="27"/>
  <c r="E97" i="27"/>
  <c r="D97" i="27"/>
  <c r="H97" i="27"/>
  <c r="G105" i="27"/>
  <c r="F105" i="27"/>
  <c r="E105" i="27"/>
  <c r="D105" i="27"/>
  <c r="H105" i="27"/>
  <c r="G113" i="27"/>
  <c r="F113" i="27"/>
  <c r="E113" i="27"/>
  <c r="D113" i="27"/>
  <c r="H113" i="27"/>
  <c r="G121" i="27"/>
  <c r="F121" i="27"/>
  <c r="E121" i="27"/>
  <c r="D121" i="27"/>
  <c r="H121" i="27"/>
  <c r="F173" i="27"/>
  <c r="E173" i="27"/>
  <c r="H173" i="27"/>
  <c r="G173" i="27"/>
  <c r="D173" i="27"/>
  <c r="F188" i="27"/>
  <c r="E188" i="27"/>
  <c r="H188" i="27"/>
  <c r="G188" i="27"/>
  <c r="D188" i="27"/>
  <c r="F204" i="27"/>
  <c r="E204" i="27"/>
  <c r="H204" i="27"/>
  <c r="G204" i="27"/>
  <c r="D204" i="27"/>
  <c r="F220" i="27"/>
  <c r="E220" i="27"/>
  <c r="H220" i="27"/>
  <c r="G220" i="27"/>
  <c r="D220" i="27"/>
  <c r="F236" i="27"/>
  <c r="E236" i="27"/>
  <c r="H236" i="27"/>
  <c r="G236" i="27"/>
  <c r="D236" i="27"/>
  <c r="F172" i="27"/>
  <c r="E172" i="27"/>
  <c r="H172" i="27"/>
  <c r="G172" i="27"/>
  <c r="D172" i="27"/>
  <c r="F183" i="27"/>
  <c r="E183" i="27"/>
  <c r="D183" i="27"/>
  <c r="H183" i="27"/>
  <c r="G183" i="27"/>
  <c r="F199" i="27"/>
  <c r="E199" i="27"/>
  <c r="D199" i="27"/>
  <c r="H199" i="27"/>
  <c r="G199" i="27"/>
  <c r="F215" i="27"/>
  <c r="E215" i="27"/>
  <c r="D215" i="27"/>
  <c r="H215" i="27"/>
  <c r="G215" i="27"/>
  <c r="F231" i="27"/>
  <c r="E231" i="27"/>
  <c r="D231" i="27"/>
  <c r="H231" i="27"/>
  <c r="G231" i="27"/>
  <c r="F247" i="27"/>
  <c r="E247" i="27"/>
  <c r="D247" i="27"/>
  <c r="H247" i="27"/>
  <c r="G247" i="27"/>
  <c r="H138" i="27"/>
  <c r="G138" i="27"/>
  <c r="F138" i="27"/>
  <c r="E138" i="27"/>
  <c r="D138" i="27"/>
  <c r="H146" i="27"/>
  <c r="G146" i="27"/>
  <c r="F146" i="27"/>
  <c r="E146" i="27"/>
  <c r="D146" i="27"/>
  <c r="H154" i="27"/>
  <c r="G154" i="27"/>
  <c r="F154" i="27"/>
  <c r="E154" i="27"/>
  <c r="D154" i="27"/>
  <c r="H162" i="27"/>
  <c r="G162" i="27"/>
  <c r="F162" i="27"/>
  <c r="E162" i="27"/>
  <c r="D162" i="27"/>
  <c r="D3" i="27" l="1"/>
  <c r="E3" i="27" l="1"/>
  <c r="F3" i="27" l="1"/>
  <c r="G3" i="27" s="1"/>
  <c r="D4" i="27" l="1"/>
  <c r="E4" i="27" l="1"/>
  <c r="F4" i="27" l="1"/>
  <c r="G4" i="27" s="1"/>
  <c r="D5" i="27" l="1"/>
  <c r="E5" i="27" l="1"/>
  <c r="F5" i="27" l="1"/>
  <c r="G5" i="27" s="1"/>
  <c r="D6" i="27" l="1"/>
  <c r="E6" i="27" l="1"/>
  <c r="F6" i="27" l="1"/>
  <c r="G6" i="27" s="1"/>
  <c r="D7" i="27" l="1"/>
  <c r="E7" i="27" s="1"/>
  <c r="F7" i="27" l="1"/>
  <c r="G7" i="27" s="1"/>
  <c r="D8" i="27" s="1"/>
  <c r="E8" i="27" s="1"/>
  <c r="F8" i="27" l="1"/>
  <c r="G8" i="27" s="1"/>
  <c r="D9" i="27" s="1"/>
  <c r="E9" i="27" s="1"/>
  <c r="F9" i="27" l="1"/>
  <c r="G9" i="27" s="1"/>
  <c r="D10" i="27" s="1"/>
  <c r="E10" i="27" s="1"/>
  <c r="F10" i="27" l="1"/>
  <c r="G10" i="27" s="1"/>
  <c r="D11" i="27" s="1"/>
  <c r="E11" i="27" s="1"/>
  <c r="F11" i="27" l="1"/>
  <c r="G11" i="27" s="1"/>
  <c r="D12" i="27" s="1"/>
  <c r="E12" i="27" s="1"/>
  <c r="F12" i="27" l="1"/>
  <c r="G12" i="27" s="1"/>
  <c r="D13" i="27" s="1"/>
  <c r="E13" i="27" s="1"/>
  <c r="F13" i="27" l="1"/>
  <c r="G13" i="27" s="1"/>
  <c r="D14" i="27" s="1"/>
  <c r="E14" i="27" s="1"/>
  <c r="F14" i="27" l="1"/>
  <c r="G14" i="27" s="1"/>
  <c r="F15" i="27" l="1"/>
  <c r="G15" i="27" s="1"/>
  <c r="D16" i="27" s="1"/>
  <c r="E16" i="27" s="1"/>
  <c r="F16" i="27" l="1"/>
  <c r="G16" i="27" s="1"/>
  <c r="D17" i="27" s="1"/>
  <c r="E17" i="27" l="1"/>
  <c r="F17" i="27" l="1"/>
  <c r="G17" i="27" s="1"/>
  <c r="D18" i="27" s="1"/>
  <c r="E18" i="27" l="1"/>
  <c r="F18" i="27" l="1"/>
  <c r="G18" i="27" s="1"/>
  <c r="D19" i="27" l="1"/>
  <c r="E19" i="27" l="1"/>
  <c r="F19" i="27" l="1"/>
  <c r="G19" i="27" s="1"/>
  <c r="D20" i="27" l="1"/>
  <c r="E20" i="27" l="1"/>
  <c r="F20" i="27" l="1"/>
  <c r="G20" i="27" s="1"/>
  <c r="D21" i="27" l="1"/>
  <c r="E21" i="27" l="1"/>
  <c r="F21" i="27" l="1"/>
  <c r="G21" i="27" s="1"/>
  <c r="G22" i="27" l="1"/>
  <c r="D22" i="27"/>
  <c r="E22" i="27" l="1"/>
  <c r="D23" i="27"/>
  <c r="G23" i="27"/>
  <c r="E23" i="27" l="1"/>
  <c r="D24" i="27"/>
  <c r="G24" i="27"/>
  <c r="D25" i="27" l="1"/>
  <c r="C13" i="26" s="1"/>
  <c r="G25" i="27"/>
  <c r="E24" i="27"/>
  <c r="G252" i="27" l="1"/>
  <c r="C4" i="26"/>
  <c r="C14" i="26" s="1"/>
  <c r="E25" i="27"/>
  <c r="E265" i="27" s="1"/>
  <c r="B15" i="24" s="1"/>
  <c r="D15" i="24" s="1"/>
  <c r="E15" i="13"/>
  <c r="E16" i="13"/>
  <c r="E14" i="13"/>
  <c r="C82" i="13"/>
  <c r="C83" i="13" s="1"/>
  <c r="E22" i="13" s="1"/>
  <c r="B27" i="24" l="1"/>
  <c r="B29" i="24" s="1"/>
  <c r="K35" i="26" s="1"/>
  <c r="L36" i="26" s="1"/>
  <c r="L37" i="26" s="1"/>
  <c r="L23" i="26"/>
  <c r="C8" i="26" s="1"/>
  <c r="C9" i="26"/>
  <c r="E17" i="13"/>
  <c r="B90" i="14"/>
  <c r="B92" i="14"/>
  <c r="C85" i="13"/>
  <c r="C84" i="13"/>
  <c r="N87" i="14"/>
  <c r="N85" i="14"/>
  <c r="E4" i="16"/>
  <c r="E3" i="16"/>
  <c r="E2" i="16"/>
  <c r="D13" i="14"/>
  <c r="D12" i="14"/>
  <c r="E100" i="14"/>
  <c r="E98" i="14"/>
  <c r="O97" i="14"/>
  <c r="O95" i="14"/>
  <c r="I74" i="14"/>
  <c r="E74" i="14"/>
  <c r="B48" i="14"/>
  <c r="B46" i="14"/>
  <c r="D36" i="14"/>
  <c r="F19" i="14"/>
  <c r="F17" i="14"/>
  <c r="F16" i="14"/>
  <c r="N100" i="14" s="1"/>
  <c r="C9" i="18"/>
  <c r="D3" i="18"/>
  <c r="D4" i="18"/>
  <c r="D2" i="18"/>
  <c r="C4" i="18"/>
  <c r="C3" i="18"/>
  <c r="C2" i="18"/>
  <c r="F4" i="18"/>
  <c r="F3" i="18"/>
  <c r="F2" i="18"/>
  <c r="I4" i="26" l="1"/>
  <c r="H7" i="26" s="1"/>
  <c r="H8" i="26" s="1"/>
  <c r="C10" i="26" s="1"/>
  <c r="C16" i="26" s="1"/>
  <c r="O44" i="14"/>
  <c r="H36" i="14"/>
  <c r="K36" i="26"/>
  <c r="K37" i="26" s="1"/>
  <c r="L42" i="26" s="1"/>
  <c r="B1" i="25"/>
  <c r="A12" i="16"/>
  <c r="A16" i="16"/>
  <c r="A18" i="16"/>
  <c r="C26" i="13"/>
  <c r="C30" i="13"/>
  <c r="C26" i="18" s="1"/>
  <c r="F31" i="13"/>
  <c r="E21" i="13"/>
  <c r="G2" i="18"/>
  <c r="C31" i="13"/>
  <c r="C19" i="18" s="1"/>
  <c r="A14" i="16"/>
  <c r="A22" i="16"/>
  <c r="F6" i="13"/>
  <c r="N13" i="14"/>
  <c r="E20" i="13"/>
  <c r="C69" i="13"/>
  <c r="C70" i="13" s="1"/>
  <c r="C72" i="13" s="1"/>
  <c r="E10" i="13"/>
  <c r="G3" i="18"/>
  <c r="H3" i="18" s="1"/>
  <c r="G4" i="18"/>
  <c r="H4" i="18" s="1"/>
  <c r="D21" i="25" l="1"/>
  <c r="A20" i="25"/>
  <c r="I65" i="14"/>
  <c r="D26" i="18"/>
  <c r="G83" i="25"/>
  <c r="B11" i="29" s="1"/>
  <c r="A78" i="25"/>
  <c r="K83" i="25"/>
  <c r="B12" i="29" s="1"/>
  <c r="D77" i="25"/>
  <c r="B23" i="24"/>
  <c r="C18" i="26"/>
  <c r="M26" i="25"/>
  <c r="B19" i="29" s="1"/>
  <c r="V28" i="25"/>
  <c r="Y56" i="25"/>
  <c r="B17" i="29" s="1"/>
  <c r="D19" i="18"/>
  <c r="S25" i="25"/>
  <c r="B21" i="29" s="1"/>
  <c r="P24" i="25"/>
  <c r="B20" i="29" s="1"/>
  <c r="J19" i="25"/>
  <c r="B18" i="29" s="1"/>
  <c r="G51" i="25"/>
  <c r="A48" i="25"/>
  <c r="J51" i="25"/>
  <c r="B10" i="29" s="1"/>
  <c r="G23" i="25"/>
  <c r="P53" i="25"/>
  <c r="B14" i="29" s="1"/>
  <c r="S54" i="25"/>
  <c r="B15" i="29" s="1"/>
  <c r="M54" i="25"/>
  <c r="B13" i="29" s="1"/>
  <c r="V54" i="25"/>
  <c r="B16" i="29" s="1"/>
  <c r="D50" i="25"/>
  <c r="O48" i="14"/>
  <c r="O46" i="14"/>
  <c r="F23" i="14"/>
  <c r="O54" i="14"/>
  <c r="J98" i="14"/>
  <c r="C33" i="13"/>
  <c r="F22" i="14"/>
  <c r="J100" i="14"/>
  <c r="O56" i="14"/>
  <c r="F26" i="14"/>
  <c r="H2" i="18"/>
  <c r="G6" i="18"/>
  <c r="A10" i="16"/>
  <c r="A24" i="16"/>
  <c r="C32" i="13"/>
  <c r="F24" i="14" s="1"/>
  <c r="C71" i="13"/>
  <c r="C35" i="13" l="1"/>
  <c r="C37" i="13"/>
  <c r="C20" i="26"/>
  <c r="B26" i="24" s="1"/>
  <c r="B28" i="24" s="1"/>
  <c r="G19" i="24" s="1"/>
  <c r="B88" i="25"/>
  <c r="B89" i="25" s="1"/>
  <c r="F25" i="14"/>
  <c r="F27" i="14" s="1"/>
  <c r="A20" i="16"/>
  <c r="C10" i="18"/>
  <c r="C19" i="13" s="1"/>
  <c r="C23" i="13" s="1"/>
  <c r="C24" i="13" s="1"/>
  <c r="C18" i="13"/>
  <c r="G5" i="24" l="1"/>
  <c r="G13" i="24"/>
  <c r="G25" i="24"/>
  <c r="G12" i="24"/>
  <c r="C75" i="24"/>
  <c r="C74" i="24"/>
  <c r="G23" i="24"/>
  <c r="G6" i="24"/>
  <c r="C36" i="13"/>
  <c r="C18" i="18" s="1"/>
  <c r="C38" i="13"/>
  <c r="G15" i="24"/>
  <c r="G21" i="24"/>
  <c r="G24" i="24"/>
  <c r="G20" i="24"/>
  <c r="G16" i="24"/>
  <c r="G14" i="24"/>
  <c r="G22" i="24"/>
  <c r="G7" i="24"/>
  <c r="F36" i="13"/>
  <c r="G11" i="24"/>
  <c r="G18" i="24"/>
  <c r="F35" i="13"/>
  <c r="G10" i="24"/>
  <c r="G9" i="24"/>
  <c r="G8" i="24"/>
  <c r="G17" i="24"/>
  <c r="F28" i="14"/>
  <c r="D112" i="25"/>
  <c r="D111" i="25"/>
  <c r="D113" i="25"/>
  <c r="D110" i="25"/>
  <c r="D105" i="25"/>
  <c r="G105" i="25" s="1"/>
  <c r="D99" i="25"/>
  <c r="D103" i="25"/>
  <c r="D94" i="25"/>
  <c r="D107" i="25"/>
  <c r="D108" i="25"/>
  <c r="D102" i="25"/>
  <c r="D109" i="25"/>
  <c r="D100" i="25"/>
  <c r="D96" i="25"/>
  <c r="D93" i="25"/>
  <c r="D106" i="25"/>
  <c r="D101" i="25"/>
  <c r="D98" i="25"/>
  <c r="D104" i="25"/>
  <c r="D95" i="25"/>
  <c r="D97" i="25"/>
  <c r="C25" i="13"/>
  <c r="E25" i="13" s="1"/>
  <c r="L8" i="26"/>
  <c r="F24" i="13"/>
  <c r="E24" i="13"/>
  <c r="F21" i="14"/>
  <c r="C20" i="18"/>
  <c r="D20" i="18" s="1"/>
  <c r="D22" i="18" s="1"/>
  <c r="F18" i="13"/>
  <c r="B77" i="24" l="1"/>
  <c r="G28" i="24" s="1"/>
  <c r="E39" i="13"/>
  <c r="F113" i="25"/>
  <c r="G113" i="25"/>
  <c r="G93" i="25"/>
  <c r="F93" i="25"/>
  <c r="F106" i="25"/>
  <c r="G106" i="25"/>
  <c r="G97" i="25"/>
  <c r="F97" i="25"/>
  <c r="F102" i="25"/>
  <c r="G102" i="25"/>
  <c r="F95" i="25"/>
  <c r="G95" i="25"/>
  <c r="F108" i="25"/>
  <c r="G108" i="25"/>
  <c r="F107" i="25"/>
  <c r="G107" i="25"/>
  <c r="G94" i="25"/>
  <c r="F94" i="25"/>
  <c r="G96" i="25"/>
  <c r="F96" i="25"/>
  <c r="F98" i="25"/>
  <c r="G98" i="25"/>
  <c r="F103" i="25"/>
  <c r="G103" i="25"/>
  <c r="F100" i="25"/>
  <c r="G100" i="25"/>
  <c r="F109" i="25"/>
  <c r="G109" i="25"/>
  <c r="G110" i="25"/>
  <c r="F110" i="25"/>
  <c r="F104" i="25"/>
  <c r="G104" i="25"/>
  <c r="G99" i="25"/>
  <c r="F99" i="25"/>
  <c r="G111" i="25"/>
  <c r="F111" i="25"/>
  <c r="F112" i="25"/>
  <c r="G112" i="25"/>
  <c r="G101" i="25"/>
  <c r="F101" i="25"/>
  <c r="F105" i="25"/>
  <c r="C22" i="18"/>
  <c r="H101" i="25" l="1"/>
  <c r="B125" i="25" s="1"/>
  <c r="H110" i="25"/>
  <c r="B134" i="25" s="1"/>
  <c r="H96" i="25"/>
  <c r="B120" i="25" s="1"/>
  <c r="H113" i="25"/>
  <c r="B137" i="25" s="1"/>
  <c r="H94" i="25"/>
  <c r="B118" i="25" s="1"/>
  <c r="H93" i="25"/>
  <c r="B117" i="25" s="1"/>
  <c r="H97" i="25"/>
  <c r="B121" i="25" s="1"/>
  <c r="H111" i="25"/>
  <c r="B135" i="25" s="1"/>
  <c r="H98" i="25"/>
  <c r="B122" i="25" s="1"/>
  <c r="H100" i="25"/>
  <c r="B124" i="25" s="1"/>
  <c r="H108" i="25"/>
  <c r="B132" i="25" s="1"/>
  <c r="H112" i="25"/>
  <c r="B136" i="25" s="1"/>
  <c r="H99" i="25"/>
  <c r="B123" i="25" s="1"/>
  <c r="H102" i="25"/>
  <c r="B126" i="25" s="1"/>
  <c r="H104" i="25"/>
  <c r="B128" i="25" s="1"/>
  <c r="H103" i="25"/>
  <c r="B127" i="25" s="1"/>
  <c r="H105" i="25"/>
  <c r="B129" i="25" s="1"/>
  <c r="H106" i="25"/>
  <c r="B130" i="25" s="1"/>
  <c r="H95" i="25"/>
  <c r="B119" i="25" s="1"/>
  <c r="H109" i="25"/>
  <c r="B133" i="25" s="1"/>
  <c r="H107" i="25"/>
  <c r="B131" i="25" s="1"/>
  <c r="F29" i="14"/>
  <c r="G31" i="24" l="1"/>
  <c r="G30" i="24"/>
</calcChain>
</file>

<file path=xl/sharedStrings.xml><?xml version="1.0" encoding="utf-8"?>
<sst xmlns="http://schemas.openxmlformats.org/spreadsheetml/2006/main" count="802" uniqueCount="398">
  <si>
    <t>System O)) Configuration Simulator - BMEC Authorization of July 26 2023 (#23-06-408)</t>
  </si>
  <si>
    <t>NESTED PIPES</t>
  </si>
  <si>
    <t>Version 2.0</t>
  </si>
  <si>
    <t>Project Name:</t>
  </si>
  <si>
    <t>Designer Name:</t>
  </si>
  <si>
    <t>Enter proper information in the green cells</t>
  </si>
  <si>
    <t>Then validate the configuration</t>
  </si>
  <si>
    <t>Line</t>
  </si>
  <si>
    <t>Information required or element calculated</t>
  </si>
  <si>
    <t>Units</t>
  </si>
  <si>
    <t>Instructions / comments</t>
  </si>
  <si>
    <t>Soil percolation time (T-Time)</t>
  </si>
  <si>
    <t>Min/cm</t>
  </si>
  <si>
    <t>Enter the receiving soil T-Time.</t>
  </si>
  <si>
    <t>Enter System O)) Design Flow</t>
  </si>
  <si>
    <t>L/d</t>
  </si>
  <si>
    <t>Enter the System O)) Design Flow as determined from 8.2.1.3 of the Ontario On-Site Sewage Systems Code.</t>
  </si>
  <si>
    <r>
      <t>S</t>
    </r>
    <r>
      <rPr>
        <b/>
        <i/>
        <vertAlign val="subscript"/>
        <sz val="14"/>
        <rFont val="Arial"/>
        <family val="2"/>
      </rPr>
      <t>min</t>
    </r>
    <r>
      <rPr>
        <b/>
        <i/>
        <sz val="14"/>
        <rFont val="Arial"/>
        <family val="2"/>
      </rPr>
      <t xml:space="preserve"> - Minimum Vertical Separation </t>
    </r>
  </si>
  <si>
    <t>m</t>
  </si>
  <si>
    <t xml:space="preserve">Minimum Vertical Separation as measured from the bottom of the System O)) must be 0,6 m
</t>
  </si>
  <si>
    <t>Dept of the receiving soil</t>
  </si>
  <si>
    <t>Enter the dept of the receiving soil from the surface (original grade) to:  High ground water table or Bedrock or Soil with a percolation time (T) greater than 125 cm/min. If receiving soil has a T-Time &gt; 125 min/cm, enter 0.</t>
  </si>
  <si>
    <t>Dept of the excavation</t>
  </si>
  <si>
    <t>Enter the dept at which the base of the system will be installed. If imported sand is used under the System O)), enter the dept at which the imported sand is installed. If the system or the imported sand layer are installed at the surface (original grade), the value is 0 .</t>
  </si>
  <si>
    <r>
      <t>D</t>
    </r>
    <r>
      <rPr>
        <b/>
        <i/>
        <vertAlign val="subscript"/>
        <sz val="14"/>
        <rFont val="Arial"/>
        <family val="2"/>
      </rPr>
      <t>S</t>
    </r>
    <r>
      <rPr>
        <b/>
        <i/>
        <sz val="14"/>
        <rFont val="Arial"/>
        <family val="2"/>
      </rPr>
      <t xml:space="preserve"> - Depth of receiving soil under the excavation</t>
    </r>
  </si>
  <si>
    <t>This value represent the thickness of receiving soil remaining after excavation before the high ground water table or bedrock or soil with a percolation time (T) greater than 50 cm/min.</t>
  </si>
  <si>
    <t>ls - Thickness of the imported sand layer (if used)</t>
  </si>
  <si>
    <t xml:space="preserve">Enter the dept of receiving soil still in place after installation between the base of the system or the imported sand layer and the high ground water table or bedrock or soil with a percolation time (T) greater than 50 cm/min. </t>
  </si>
  <si>
    <r>
      <t>S</t>
    </r>
    <r>
      <rPr>
        <b/>
        <i/>
        <vertAlign val="subscript"/>
        <sz val="14"/>
        <rFont val="Arial"/>
        <family val="2"/>
      </rPr>
      <t>D</t>
    </r>
    <r>
      <rPr>
        <b/>
        <i/>
        <sz val="14"/>
        <rFont val="Arial"/>
        <family val="2"/>
      </rPr>
      <t xml:space="preserve"> - Separation distance</t>
    </r>
  </si>
  <si>
    <t>This value represent the thickness of soil and imported sand (when used)  between the system base and the ground water table or bedrock or soil with a percolation time (T) greater than 50 cm/min.</t>
  </si>
  <si>
    <t>Minimum length of trench</t>
  </si>
  <si>
    <t>Minimum number of Enviro-Septic Pipes</t>
  </si>
  <si>
    <t>ESP</t>
  </si>
  <si>
    <t>This value represent the minimum number of Enviro-Septic pipes required to have the minimum length required or the minimum pipes in with the daily flow</t>
  </si>
  <si>
    <t>Number of trenches of nested pipes</t>
  </si>
  <si>
    <t>Trenches</t>
  </si>
  <si>
    <t>Enter the number of rows of the configuration wanted.</t>
  </si>
  <si>
    <t>Number of Enviro-Septic Pipes per trench</t>
  </si>
  <si>
    <t>Enter the number of pipes per row for the configuration wanted. This number should be between 1 and 10.</t>
  </si>
  <si>
    <t>Number of sections</t>
  </si>
  <si>
    <t>section(s)</t>
  </si>
  <si>
    <t xml:space="preserve">The number of section chosen must allow even distribution of rows between sections (Ex. 9 rows can be divided in 3 section of 3 rows, but 8 rows can't be divided in 3 sections).  </t>
  </si>
  <si>
    <t>Total number of Enviro-Septic Pipe per sections</t>
  </si>
  <si>
    <t>Total number of Enviro-Septic Pipes</t>
  </si>
  <si>
    <t>Total length of Enviro-Septic Pipes</t>
  </si>
  <si>
    <t>This value represent the product of the total number of pipes required by the length of one pipe.</t>
  </si>
  <si>
    <t>Total length of a trench of Enviro-Septic Pipes</t>
  </si>
  <si>
    <t>This value represent the product of the number of pipes per row by the lenght of one pipe.</t>
  </si>
  <si>
    <r>
      <t>E</t>
    </r>
    <r>
      <rPr>
        <b/>
        <vertAlign val="subscript"/>
        <sz val="14"/>
        <rFont val="Arial"/>
        <family val="2"/>
      </rPr>
      <t>CC</t>
    </r>
    <r>
      <rPr>
        <b/>
        <sz val="14"/>
        <rFont val="Arial"/>
        <family val="2"/>
      </rPr>
      <t xml:space="preserve"> - Center to Center Spacing</t>
    </r>
  </si>
  <si>
    <t>Center to center spacing needs to be minimum 2 m for nested pipe configuration</t>
  </si>
  <si>
    <t>EL- Lateral Extension distance</t>
  </si>
  <si>
    <t xml:space="preserve">Lateral extension distance needs to be 0,3 m or more. </t>
  </si>
  <si>
    <r>
      <t>E</t>
    </r>
    <r>
      <rPr>
        <b/>
        <vertAlign val="subscript"/>
        <sz val="14"/>
        <rFont val="Arial"/>
        <family val="2"/>
      </rPr>
      <t>E</t>
    </r>
    <r>
      <rPr>
        <b/>
        <sz val="14"/>
        <rFont val="Arial"/>
        <family val="2"/>
      </rPr>
      <t xml:space="preserve"> - Extremity Extension Distance</t>
    </r>
  </si>
  <si>
    <t>The minimum value of the extremity extension spacing  is 0,3 m.</t>
  </si>
  <si>
    <t>L - Length of one trench of the System O))</t>
  </si>
  <si>
    <t>This value represent the length of a trench of pipes plus the two Extremity Extension Distances</t>
  </si>
  <si>
    <t>W - Width of one trench of the System O))</t>
  </si>
  <si>
    <t>Total  Contact Area per trench</t>
  </si>
  <si>
    <r>
      <t>m</t>
    </r>
    <r>
      <rPr>
        <b/>
        <vertAlign val="superscript"/>
        <sz val="16"/>
        <rFont val="Arial"/>
        <family val="2"/>
      </rPr>
      <t>2</t>
    </r>
  </si>
  <si>
    <t>This value represent the total System O)) Contact Area for each independant trench</t>
  </si>
  <si>
    <t>L1 - Total length of one section of the System O))</t>
  </si>
  <si>
    <t>This value represent the total length of the system.</t>
  </si>
  <si>
    <t>W1 - Total width of one section of the System O))</t>
  </si>
  <si>
    <t xml:space="preserve">This value represent the total width of the complete system. </t>
  </si>
  <si>
    <t>Total System O)) Contact Area per section</t>
  </si>
  <si>
    <t>Total System O)) Contact Area</t>
  </si>
  <si>
    <t>Estimation of the Volume of System Sand Required</t>
  </si>
  <si>
    <r>
      <t>m</t>
    </r>
    <r>
      <rPr>
        <b/>
        <vertAlign val="superscript"/>
        <sz val="16"/>
        <rFont val="Arial"/>
        <family val="2"/>
      </rPr>
      <t>3</t>
    </r>
  </si>
  <si>
    <t>Please note that this volume is only an estimate</t>
  </si>
  <si>
    <t>The volume of system sand required is the product of the length by the width by the number of trench and by the thickness of the sand layer from which we subtract the volume of the Enviro-Septic Pipes.</t>
  </si>
  <si>
    <t>Estimation of the Volume of Imported Sand Required</t>
  </si>
  <si>
    <t>Imported sand is required only when T &gt; 20 and where its needs to be there to respect the vertical separation.</t>
  </si>
  <si>
    <t xml:space="preserve">Final Configuration Validation </t>
  </si>
  <si>
    <t>"OK/ will be shown when all System O)) design rules of the configuration simulator have been met.</t>
  </si>
  <si>
    <t>Pump chamber parameters</t>
  </si>
  <si>
    <t>Parameter</t>
  </si>
  <si>
    <t>Value</t>
  </si>
  <si>
    <t>Notes</t>
  </si>
  <si>
    <t>Pump orifice size</t>
  </si>
  <si>
    <t>mm</t>
  </si>
  <si>
    <t>Does not impact much. Usually between 51 and 53 mm. Confirm with the selected pump.</t>
  </si>
  <si>
    <t>Force main internal diameter</t>
  </si>
  <si>
    <t>Refer to Pipe diameter table in sheet Pump Calculator.</t>
  </si>
  <si>
    <t>Length of the force main pipe</t>
  </si>
  <si>
    <t>From the pump chamber to the bed</t>
  </si>
  <si>
    <t>Height difference between the System O)) and pump station</t>
  </si>
  <si>
    <t>From the bottom of the pump station to the feed of the System O)).</t>
  </si>
  <si>
    <t>Attention:</t>
  </si>
  <si>
    <t>The designer is responsible to conform to all applicable laws and to all Enviro-Septic design rules.  This simulator is provided free of charge as a configuration development tool and the user understands that DBO Expert inc. and its distributors cannot be held responsible for errors or omissions because of this service.</t>
  </si>
  <si>
    <t>Vérification des sections</t>
  </si>
  <si>
    <t>Quotient du nombre de rangées sur le nombre de section</t>
  </si>
  <si>
    <t>Arrondi suppérieur du quotient précédent</t>
  </si>
  <si>
    <t>Différence entre le quotient et l'arrondi</t>
  </si>
  <si>
    <t>Condition</t>
  </si>
  <si>
    <t>Formule applicable</t>
  </si>
  <si>
    <t>LAES</t>
  </si>
  <si>
    <t>Min length</t>
  </si>
  <si>
    <t>VRAI/FAUX</t>
  </si>
  <si>
    <t>Résultat</t>
  </si>
  <si>
    <t>à écrire</t>
  </si>
  <si>
    <t>Q/75</t>
  </si>
  <si>
    <t>Q/50</t>
  </si>
  <si>
    <t>Q/30</t>
  </si>
  <si>
    <t>Nb pipes</t>
  </si>
  <si>
    <t>Q/126</t>
  </si>
  <si>
    <t>Length/3,05</t>
  </si>
  <si>
    <t>Imported sand</t>
  </si>
  <si>
    <t xml:space="preserve">Volume </t>
  </si>
  <si>
    <t>Height</t>
  </si>
  <si>
    <t>T time</t>
  </si>
  <si>
    <t>Ds</t>
  </si>
  <si>
    <t xml:space="preserve"> </t>
  </si>
  <si>
    <t>total</t>
  </si>
  <si>
    <t>T&lt;20</t>
  </si>
  <si>
    <t>T&gt;20</t>
  </si>
  <si>
    <t>Project:</t>
  </si>
  <si>
    <t>Designer:</t>
  </si>
  <si>
    <t>Date:</t>
  </si>
  <si>
    <t>Element</t>
  </si>
  <si>
    <t>Legend</t>
  </si>
  <si>
    <r>
      <t>D</t>
    </r>
    <r>
      <rPr>
        <vertAlign val="subscript"/>
        <sz val="12"/>
        <rFont val="Arial"/>
        <family val="2"/>
      </rPr>
      <t>S</t>
    </r>
  </si>
  <si>
    <t>Depth of receiving soil before limiting condition</t>
  </si>
  <si>
    <t>System O)) Design Flow</t>
  </si>
  <si>
    <r>
      <t>E</t>
    </r>
    <r>
      <rPr>
        <vertAlign val="subscript"/>
        <sz val="12"/>
        <rFont val="Arial"/>
        <family val="2"/>
      </rPr>
      <t>CC</t>
    </r>
  </si>
  <si>
    <t>Center to Center Spacing</t>
  </si>
  <si>
    <t>Number of rows of Enviro-Septic Pipes</t>
  </si>
  <si>
    <t>trench</t>
  </si>
  <si>
    <r>
      <t>E</t>
    </r>
    <r>
      <rPr>
        <vertAlign val="subscript"/>
        <sz val="12"/>
        <rFont val="Arial"/>
        <family val="2"/>
      </rPr>
      <t>E</t>
    </r>
  </si>
  <si>
    <t>Extremity Extension Distance</t>
  </si>
  <si>
    <t>Number of Enviro-Septic Pipes per row</t>
  </si>
  <si>
    <r>
      <t>E</t>
    </r>
    <r>
      <rPr>
        <vertAlign val="subscript"/>
        <sz val="12"/>
        <rFont val="Arial"/>
        <family val="2"/>
      </rPr>
      <t>L</t>
    </r>
  </si>
  <si>
    <t>Lateral Extension Distance</t>
  </si>
  <si>
    <t>Number of section (s)</t>
  </si>
  <si>
    <t>L</t>
  </si>
  <si>
    <t>Length of one row of the System O))</t>
  </si>
  <si>
    <t>W</t>
  </si>
  <si>
    <t>Width of one row of the System O))</t>
  </si>
  <si>
    <t>Total length of a row</t>
  </si>
  <si>
    <t>L1</t>
  </si>
  <si>
    <t>Total length of the system</t>
  </si>
  <si>
    <t>Total width of a row</t>
  </si>
  <si>
    <t>W1</t>
  </si>
  <si>
    <t>Total width of the system</t>
  </si>
  <si>
    <t>Total contact area of one row</t>
  </si>
  <si>
    <r>
      <t>m</t>
    </r>
    <r>
      <rPr>
        <vertAlign val="superscript"/>
        <sz val="14"/>
        <rFont val="Arial"/>
        <family val="2"/>
      </rPr>
      <t>2</t>
    </r>
  </si>
  <si>
    <r>
      <t>S</t>
    </r>
    <r>
      <rPr>
        <vertAlign val="subscript"/>
        <sz val="12"/>
        <rFont val="Arial"/>
        <family val="2"/>
      </rPr>
      <t>D</t>
    </r>
  </si>
  <si>
    <t>Separation distance under the system</t>
  </si>
  <si>
    <t>Total length of one section of the system</t>
  </si>
  <si>
    <r>
      <t>S</t>
    </r>
    <r>
      <rPr>
        <vertAlign val="subscript"/>
        <sz val="12"/>
        <rFont val="Arial"/>
        <family val="2"/>
      </rPr>
      <t>Min</t>
    </r>
  </si>
  <si>
    <t>Minimum Vertical Separation distance form the base of the system to Rock, Clay or Water Table</t>
  </si>
  <si>
    <t>Total width of one section of the system</t>
  </si>
  <si>
    <t>Estimation of the Volume of                    System Sand Required</t>
  </si>
  <si>
    <r>
      <t>m</t>
    </r>
    <r>
      <rPr>
        <vertAlign val="superscript"/>
        <sz val="14"/>
        <rFont val="Arial"/>
        <family val="2"/>
      </rPr>
      <t>3</t>
    </r>
  </si>
  <si>
    <t>Estimation of the Volume of                    Imported Sand Required</t>
  </si>
  <si>
    <t>Number of sections:</t>
  </si>
  <si>
    <t>Top view of system in nested pipe configuration (one section if multiple section system)</t>
  </si>
  <si>
    <t>(Drawing incomplete and not to scale )</t>
  </si>
  <si>
    <r>
      <t>E</t>
    </r>
    <r>
      <rPr>
        <vertAlign val="subscript"/>
        <sz val="14"/>
        <rFont val="Arial"/>
        <family val="2"/>
      </rPr>
      <t>E</t>
    </r>
    <r>
      <rPr>
        <sz val="14"/>
        <rFont val="Arial"/>
        <family val="2"/>
      </rPr>
      <t>=</t>
    </r>
  </si>
  <si>
    <t xml:space="preserve"> L =</t>
  </si>
  <si>
    <t>Rows</t>
  </si>
  <si>
    <t>Pipes/row</t>
  </si>
  <si>
    <r>
      <t>E</t>
    </r>
    <r>
      <rPr>
        <vertAlign val="subscript"/>
        <sz val="14"/>
        <rFont val="Arial"/>
        <family val="2"/>
      </rPr>
      <t>CC</t>
    </r>
    <r>
      <rPr>
        <sz val="14"/>
        <rFont val="Arial"/>
        <family val="2"/>
      </rPr>
      <t>=</t>
    </r>
  </si>
  <si>
    <t>W=</t>
  </si>
  <si>
    <r>
      <t>W</t>
    </r>
    <r>
      <rPr>
        <vertAlign val="subscript"/>
        <sz val="16"/>
        <rFont val="Arial"/>
        <family val="2"/>
      </rPr>
      <t>1</t>
    </r>
    <r>
      <rPr>
        <sz val="16"/>
        <rFont val="Arial"/>
        <family val="2"/>
      </rPr>
      <t>=</t>
    </r>
  </si>
  <si>
    <r>
      <t>E</t>
    </r>
    <r>
      <rPr>
        <vertAlign val="subscript"/>
        <sz val="14"/>
        <rFont val="Arial"/>
        <family val="2"/>
      </rPr>
      <t>L</t>
    </r>
    <r>
      <rPr>
        <sz val="14"/>
        <rFont val="Arial"/>
        <family val="2"/>
      </rPr>
      <t xml:space="preserve"> =</t>
    </r>
  </si>
  <si>
    <t>L1=</t>
  </si>
  <si>
    <t>System Cross section in nested pipe configuration</t>
  </si>
  <si>
    <t>EL =</t>
  </si>
  <si>
    <t>MAX. 0,2 m - 0,67 ft</t>
  </si>
  <si>
    <t>0,1 m - 0,33 ft</t>
  </si>
  <si>
    <r>
      <t>S</t>
    </r>
    <r>
      <rPr>
        <vertAlign val="subscript"/>
        <sz val="14"/>
        <rFont val="Arial"/>
        <family val="2"/>
      </rPr>
      <t>D</t>
    </r>
    <r>
      <rPr>
        <sz val="14"/>
        <rFont val="Arial"/>
        <family val="2"/>
      </rPr>
      <t xml:space="preserve"> = </t>
    </r>
  </si>
  <si>
    <r>
      <t>I</t>
    </r>
    <r>
      <rPr>
        <vertAlign val="subscript"/>
        <sz val="14"/>
        <rFont val="Arial"/>
        <family val="2"/>
      </rPr>
      <t>S</t>
    </r>
    <r>
      <rPr>
        <sz val="14"/>
        <rFont val="Arial"/>
        <family val="2"/>
      </rPr>
      <t xml:space="preserve"> =</t>
    </r>
  </si>
  <si>
    <r>
      <t>D</t>
    </r>
    <r>
      <rPr>
        <vertAlign val="subscript"/>
        <sz val="14"/>
        <rFont val="Arial"/>
        <family val="2"/>
      </rPr>
      <t>S</t>
    </r>
    <r>
      <rPr>
        <sz val="14"/>
        <rFont val="Arial"/>
        <family val="2"/>
      </rPr>
      <t>=</t>
    </r>
  </si>
  <si>
    <t>W =</t>
  </si>
  <si>
    <r>
      <t>W</t>
    </r>
    <r>
      <rPr>
        <vertAlign val="subscript"/>
        <sz val="14"/>
        <rFont val="Arial"/>
        <family val="2"/>
      </rPr>
      <t>1</t>
    </r>
    <r>
      <rPr>
        <sz val="14"/>
        <rFont val="Arial"/>
        <family val="2"/>
      </rPr>
      <t xml:space="preserve"> =</t>
    </r>
  </si>
  <si>
    <t>Type of sand:</t>
  </si>
  <si>
    <t>The designer is responsible to conform to all applicable laws and to all System O)) design rules.  This simulator is provided free of charge as a configuration development tool and the user understands that DBO Expert inc. and its distributors cannot be held responsible for errors or omissions because of this service.</t>
  </si>
  <si>
    <t>System O)) Quotation</t>
  </si>
  <si>
    <t>Number of trenches</t>
  </si>
  <si>
    <t>Number of AES pipe per trench</t>
  </si>
  <si>
    <t>Nested pipe configuration</t>
  </si>
  <si>
    <t>Quantity</t>
  </si>
  <si>
    <t>Product</t>
  </si>
  <si>
    <t>Advanced Enviro-Septic pipe (Linear foot)</t>
  </si>
  <si>
    <t>Enviro-Septic Coupling</t>
  </si>
  <si>
    <t>ESP, Piezovent, double adaptor</t>
  </si>
  <si>
    <t>Piezometer End Caps</t>
  </si>
  <si>
    <t>ESP, Sample Device</t>
  </si>
  <si>
    <t>Green pvc 1 1/2 pre-perforated pipe (Linear foot)</t>
  </si>
  <si>
    <t>Green PVC 1 1/2 non-perforated pipe (Linear foot)</t>
  </si>
  <si>
    <t>Row Inlet Kit (Parts A-B-C)</t>
  </si>
  <si>
    <t>Feeding kit (per system)</t>
  </si>
  <si>
    <t>Nested pipe pump calculator</t>
  </si>
  <si>
    <t>*For System O)) with more than 150 AES pipe, please contact Make-Way</t>
  </si>
  <si>
    <t>**This calculation is valid for only one section of the system</t>
  </si>
  <si>
    <t>** Please note that these curves are approximate, please verify on the actual pump curve.</t>
  </si>
  <si>
    <t>System O)) parameters</t>
  </si>
  <si>
    <r>
      <t>Pump selection</t>
    </r>
    <r>
      <rPr>
        <b/>
        <vertAlign val="superscript"/>
        <sz val="11"/>
        <color theme="1"/>
        <rFont val="Calibri"/>
        <family val="2"/>
        <scheme val="minor"/>
      </rPr>
      <t>**/***</t>
    </r>
  </si>
  <si>
    <t>Zoeller 151</t>
  </si>
  <si>
    <t>Orifice diameter</t>
  </si>
  <si>
    <t>Usually 4,766 mm (3/16")</t>
  </si>
  <si>
    <t>Zoeller 152</t>
  </si>
  <si>
    <t>Space between orifices</t>
  </si>
  <si>
    <t>For Nested pipe, 1,52 m</t>
  </si>
  <si>
    <t>Zoeller 153</t>
  </si>
  <si>
    <t>Number of pipes per trench</t>
  </si>
  <si>
    <t>Zoeller 185</t>
  </si>
  <si>
    <t>Length of a lateral pipe</t>
  </si>
  <si>
    <t>= Number of pipes per row x 3,05 m</t>
  </si>
  <si>
    <t>Zoeller 186</t>
  </si>
  <si>
    <t>Height of spray</t>
  </si>
  <si>
    <t>Minimum 0,6 m</t>
  </si>
  <si>
    <t>Zoeller 188</t>
  </si>
  <si>
    <t>Diameter of the nested pipe</t>
  </si>
  <si>
    <t>For nested pipe (NP), 40,93 mm (1,5 in)</t>
  </si>
  <si>
    <t>Zoeller 189</t>
  </si>
  <si>
    <t>Hazen William Coefficient</t>
  </si>
  <si>
    <t>150 for PVC pipe</t>
  </si>
  <si>
    <t>Zoeller 191</t>
  </si>
  <si>
    <t>Number of rows fed at the same time</t>
  </si>
  <si>
    <t>Liberty 250</t>
  </si>
  <si>
    <t>Number of orifices per lateral</t>
  </si>
  <si>
    <t>Liberty 280</t>
  </si>
  <si>
    <t>Proximal/distal ratio</t>
  </si>
  <si>
    <t>Liberty 290</t>
  </si>
  <si>
    <t>Feeding pipe and pump chamber parameters</t>
  </si>
  <si>
    <t>Liberty FL50</t>
  </si>
  <si>
    <t>Liberty FL60</t>
  </si>
  <si>
    <t>Liberty FL70</t>
  </si>
  <si>
    <t>Refer to Pipe diameter table.</t>
  </si>
  <si>
    <t>Liberty FL100</t>
  </si>
  <si>
    <t>Liberty FL150</t>
  </si>
  <si>
    <t>Liberty FL200</t>
  </si>
  <si>
    <t>K value for singular loss</t>
  </si>
  <si>
    <t xml:space="preserve">10 is a good approximation for small restriction systems. If there is a lot of restrictions see this website : https://archive.nptel.ac.in/content/storage2/courses/112104118/lecture-37/37-3_losses_pipe_fittings.htm </t>
  </si>
  <si>
    <t>Little Giant WS50M</t>
  </si>
  <si>
    <t>Need for indexing valve ?</t>
  </si>
  <si>
    <t>Little Giant WS50H</t>
  </si>
  <si>
    <t>Little Giant WS100H</t>
  </si>
  <si>
    <t>Minimal operation point</t>
  </si>
  <si>
    <t>Little Giant WS30M</t>
  </si>
  <si>
    <t>Head loss</t>
  </si>
  <si>
    <t>Flow</t>
  </si>
  <si>
    <t>L/s</t>
  </si>
  <si>
    <t>Pump selected</t>
  </si>
  <si>
    <t>ft</t>
  </si>
  <si>
    <t>Pump validation</t>
  </si>
  <si>
    <t>gpm</t>
  </si>
  <si>
    <t>Enter the flow of the pump (gpm)</t>
  </si>
  <si>
    <t>A safety factor of 20% in included in the head loss above</t>
  </si>
  <si>
    <t>Run time</t>
  </si>
  <si>
    <t>Pump chamber informations</t>
  </si>
  <si>
    <t>Off time</t>
  </si>
  <si>
    <t>Pump chamber minimum volume*</t>
  </si>
  <si>
    <t>**Or equivalent</t>
  </si>
  <si>
    <t>Dose recommended</t>
  </si>
  <si>
    <t>***Please verify that the pump fits in the curve</t>
  </si>
  <si>
    <t>*As recommended from the Shallow buried trench Guidance Document from The Ontario Onsite Wastewater Association</t>
  </si>
  <si>
    <t>https://www.oowa.org/wp-content/uploads/2022/05/Shallow-Buried-Trench-Best-Practices-FINAL-March2019.pdf</t>
  </si>
  <si>
    <t>Nominal diameter (mm)</t>
  </si>
  <si>
    <t>Nominal diameter (in)</t>
  </si>
  <si>
    <t>1"1/2</t>
  </si>
  <si>
    <t>2"</t>
  </si>
  <si>
    <t>3"</t>
  </si>
  <si>
    <t>Change pump!</t>
  </si>
  <si>
    <t>Final flow</t>
  </si>
  <si>
    <t>Vitesse (m/s)</t>
  </si>
  <si>
    <t>Nombre de rangées</t>
  </si>
  <si>
    <t>Singular loss</t>
  </si>
  <si>
    <t>Height difference</t>
  </si>
  <si>
    <t>Pa</t>
  </si>
  <si>
    <t>Nombre de conduites</t>
  </si>
  <si>
    <t>Pump orifice</t>
  </si>
  <si>
    <t>Feeding pipe</t>
  </si>
  <si>
    <t>CDP</t>
  </si>
  <si>
    <t>Calcul conduite largeur système</t>
  </si>
  <si>
    <t>Orifices</t>
  </si>
  <si>
    <t>Longeur conduite</t>
  </si>
  <si>
    <t>Lateral pipes</t>
  </si>
  <si>
    <t>Pipe between trenches</t>
  </si>
  <si>
    <t>cdp : causé par le nombre d'intersections (rangées alimentées en même temps)</t>
  </si>
  <si>
    <t>Total</t>
  </si>
  <si>
    <t>Safety factor</t>
  </si>
  <si>
    <t>si jet &gt; 0,6 m</t>
  </si>
  <si>
    <t>Indexing valve head loss</t>
  </si>
  <si>
    <t>cdp - hauteur jet</t>
  </si>
  <si>
    <t>Final head loss</t>
  </si>
  <si>
    <t>Formule ministère - Orifice pompe</t>
  </si>
  <si>
    <t>Dose volume</t>
  </si>
  <si>
    <t>Q/24</t>
  </si>
  <si>
    <t>cond. Amenée</t>
  </si>
  <si>
    <t>Total :</t>
  </si>
  <si>
    <t>Indexing valve</t>
  </si>
  <si>
    <t>4 sorties</t>
  </si>
  <si>
    <t>6 sorties</t>
  </si>
  <si>
    <t>Pump chamber</t>
  </si>
  <si>
    <t>Débit</t>
  </si>
  <si>
    <t>PSI loss</t>
  </si>
  <si>
    <t>m loss</t>
  </si>
  <si>
    <t>Nb section du système</t>
  </si>
  <si>
    <t>Perte à prendre</t>
  </si>
  <si>
    <t>No. Orifice</t>
  </si>
  <si>
    <t>Head loss (m)</t>
  </si>
  <si>
    <t>Residual head (m)</t>
  </si>
  <si>
    <t>Flow at the orifice (L/s)</t>
  </si>
  <si>
    <t>Residual flow (L/s)</t>
  </si>
  <si>
    <t>Length (m)</t>
  </si>
  <si>
    <t>Ratio</t>
  </si>
  <si>
    <t>Flow :</t>
  </si>
  <si>
    <t>flow</t>
  </si>
  <si>
    <t>head</t>
  </si>
  <si>
    <t>y=-0,0104*x^2+0,1091*x+25,844</t>
  </si>
  <si>
    <t>y = -0,0016x2 - 0,369x + 73,432</t>
  </si>
  <si>
    <t>y= -0,0027*x^2 -0,2993*x + 38,298</t>
  </si>
  <si>
    <t>MIN</t>
  </si>
  <si>
    <t>y = -0,0015*x^2 - 0,3913*x + 44,421</t>
  </si>
  <si>
    <t>MAX</t>
  </si>
  <si>
    <t>y = -0,0023x2 - 0,2514x + 89,678</t>
  </si>
  <si>
    <t>y = -0,0024x2 - 0,3399x + 105,2</t>
  </si>
  <si>
    <r>
      <t>y = -0,0073x</t>
    </r>
    <r>
      <rPr>
        <vertAlign val="superscript"/>
        <sz val="10"/>
        <rFont val="Arial"/>
        <family val="2"/>
      </rPr>
      <t>2</t>
    </r>
    <r>
      <rPr>
        <sz val="10"/>
        <rFont val="Arial"/>
        <family val="2"/>
      </rPr>
      <t xml:space="preserve"> - 0,4139x + 110,47</t>
    </r>
  </si>
  <si>
    <r>
      <t>y = -0,0087x</t>
    </r>
    <r>
      <rPr>
        <vertAlign val="superscript"/>
        <sz val="10"/>
        <rFont val="Arial"/>
        <family val="2"/>
      </rPr>
      <t>2</t>
    </r>
    <r>
      <rPr>
        <sz val="10"/>
        <rFont val="Arial"/>
        <family val="2"/>
      </rPr>
      <t xml:space="preserve"> - 0,6146x + 136,59</t>
    </r>
  </si>
  <si>
    <t>courbe à décortiquer</t>
  </si>
  <si>
    <t>Coeff FL50</t>
  </si>
  <si>
    <t>FL60</t>
  </si>
  <si>
    <t>FL70</t>
  </si>
  <si>
    <t>FL100</t>
  </si>
  <si>
    <t>FL150</t>
  </si>
  <si>
    <t>FL200</t>
  </si>
  <si>
    <t>GPM</t>
  </si>
  <si>
    <t>Ft</t>
  </si>
  <si>
    <t>y = 7,8063E-18*x^4 - 9,2593E-06*x^3 - 5,5556E-03*x^2-1,3876E-01*x + 2,2992E+01</t>
  </si>
  <si>
    <t>y=-6,4742E-07*x^4+7,2798E-05*x^3-7,4839E-03*x^2-1,7471E-01*x+3,6982E+01</t>
  </si>
  <si>
    <r>
      <t>y = -0,0037x</t>
    </r>
    <r>
      <rPr>
        <vertAlign val="superscript"/>
        <sz val="10"/>
        <rFont val="Arial"/>
        <family val="2"/>
      </rPr>
      <t>2</t>
    </r>
    <r>
      <rPr>
        <sz val="10"/>
        <rFont val="Arial"/>
        <family val="2"/>
      </rPr>
      <t xml:space="preserve"> - 0,3798x + 76,196</t>
    </r>
  </si>
  <si>
    <t>y = -4E-05x3 + 0,0019x2 - 0,4222x + 55,022</t>
  </si>
  <si>
    <t>y = -3E-05x3 + 0,0042x2 - 0,8496x + 111,15</t>
  </si>
  <si>
    <t>y = -0,0055x2 - 0,386x + 130,35</t>
  </si>
  <si>
    <t>WS30M</t>
  </si>
  <si>
    <t>WS50M</t>
  </si>
  <si>
    <t>WS50H</t>
  </si>
  <si>
    <t>WS100H</t>
  </si>
  <si>
    <t>FT</t>
  </si>
  <si>
    <t>y = -0,0019x2 - 0,0964x + 34,467</t>
  </si>
  <si>
    <t>y = -0,0008x2 - 0,1154x + 26,888</t>
  </si>
  <si>
    <t>y = -0,0015x2 - 0,2549x + 58,9</t>
  </si>
  <si>
    <t>y = -0,0027x2 - 0,0859x + 83,69</t>
  </si>
  <si>
    <t>Calcul débit</t>
  </si>
  <si>
    <t>Perte sans 20 %</t>
  </si>
  <si>
    <t>ax2+bx+c = 0</t>
  </si>
  <si>
    <t>Débit (gpm)</t>
  </si>
  <si>
    <t>A</t>
  </si>
  <si>
    <t>B</t>
  </si>
  <si>
    <t>C</t>
  </si>
  <si>
    <t>Valeur +</t>
  </si>
  <si>
    <t>Valeur -</t>
  </si>
  <si>
    <t>Débit choisi</t>
  </si>
  <si>
    <t>pompes à arranger</t>
  </si>
  <si>
    <t>y = -0,0062x2 - 0,1261x + 22,964</t>
  </si>
  <si>
    <t>r= 0,9999</t>
  </si>
  <si>
    <r>
      <t>y = -0,0053x</t>
    </r>
    <r>
      <rPr>
        <vertAlign val="superscript"/>
        <sz val="10"/>
        <rFont val="Arial"/>
        <family val="2"/>
      </rPr>
      <t>2</t>
    </r>
    <r>
      <rPr>
        <sz val="10"/>
        <rFont val="Arial"/>
        <family val="2"/>
      </rPr>
      <t xml:space="preserve"> - 0,1853x + 36,914</t>
    </r>
  </si>
  <si>
    <t>r = 0,9999</t>
  </si>
  <si>
    <t>y = -0,0038x2 - 0,2646x + 48,316</t>
  </si>
  <si>
    <t>r = 0,9997</t>
  </si>
  <si>
    <t>FL50</t>
  </si>
  <si>
    <t>y = -0,0036x2 - 0,2346x + 54,17</t>
  </si>
  <si>
    <t>r = 0,9987</t>
  </si>
  <si>
    <t>y = -0,0037x2 - 0,3798x + 76,196</t>
  </si>
  <si>
    <t>y = -0,0077x2 + 0,0394x + 86,082</t>
  </si>
  <si>
    <t>r = 0,9903</t>
  </si>
  <si>
    <r>
      <t>y = -0,002x</t>
    </r>
    <r>
      <rPr>
        <vertAlign val="superscript"/>
        <sz val="10"/>
        <rFont val="Arial"/>
        <family val="2"/>
      </rPr>
      <t>2</t>
    </r>
    <r>
      <rPr>
        <sz val="10"/>
        <rFont val="Arial"/>
        <family val="2"/>
      </rPr>
      <t xml:space="preserve"> - 0,5469x + 108,48</t>
    </r>
  </si>
  <si>
    <t>r = 0,9953</t>
  </si>
  <si>
    <t>débit choisi</t>
  </si>
  <si>
    <t>Pompe</t>
  </si>
  <si>
    <t>tête pompe (ancienne courbe)</t>
  </si>
  <si>
    <t>Débit max</t>
  </si>
  <si>
    <t>Débit min</t>
  </si>
  <si>
    <t>Head max</t>
  </si>
  <si>
    <t>Head min</t>
  </si>
  <si>
    <t>Ancienne courbe</t>
  </si>
  <si>
    <t>Courbe avec 0</t>
  </si>
  <si>
    <t>R2</t>
  </si>
  <si>
    <t>Débit de pompe</t>
  </si>
  <si>
    <t>R² = 0,9999</t>
  </si>
  <si>
    <t>y = -0,0068x2 - 0,1409x + 29,72</t>
  </si>
  <si>
    <t>R² = 0,9968</t>
  </si>
  <si>
    <t>y = -0,001x2 - 0,0929x + 26,234</t>
  </si>
  <si>
    <t>R² = 0,9993</t>
  </si>
  <si>
    <t>y = -0,0053x2 - 0,1853x + 36,914</t>
  </si>
  <si>
    <t>y = -0,0032x2 - 0,2441x + 37,082</t>
  </si>
  <si>
    <t>R² = 0,9998</t>
  </si>
  <si>
    <t>y = -0,0017x2 - 0,3774x + 44,125</t>
  </si>
  <si>
    <t>R² = 0,9997</t>
  </si>
  <si>
    <t>y = -7E-05x2 - 0,339x + 42,033</t>
  </si>
  <si>
    <t>R² = 0,9984</t>
  </si>
  <si>
    <t>y = -0,0018x2 - 0,3563x + 73,141</t>
  </si>
  <si>
    <t>y = -0,0022x2 - 0,2659x + 90,282</t>
  </si>
  <si>
    <t>R² = 0,9994</t>
  </si>
  <si>
    <r>
      <t>y = -0,002x</t>
    </r>
    <r>
      <rPr>
        <vertAlign val="superscript"/>
        <sz val="10"/>
        <rFont val="Arial"/>
        <family val="2"/>
      </rPr>
      <t>2</t>
    </r>
    <r>
      <rPr>
        <sz val="10"/>
        <rFont val="Arial"/>
        <family val="2"/>
      </rPr>
      <t xml:space="preserve"> - 0,4142x + 108,18</t>
    </r>
  </si>
  <si>
    <t>R² = 0,9989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</si>
</sst>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 * #,##0.00_)\ &quot;$&quot;_ ;_ * \(#,##0.00\)\ &quot;$&quot;_ ;_ * &quot;-&quot;??_)\ &quot;$&quot;_ ;_ @_ "/>
    <numFmt numFmtId="165" formatCode="0.0"/>
    <numFmt numFmtId="166" formatCode="0.000"/>
    <numFmt numFmtId="167" formatCode="0.0000"/>
    <numFmt numFmtId="168" formatCode="#,##0.0"/>
  </numFmts>
  <fonts count="6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8"/>
      <name val="Arial"/>
      <family val="2"/>
    </font>
    <font>
      <b/>
      <sz val="14"/>
      <name val="Arial"/>
      <family val="2"/>
    </font>
    <font>
      <b/>
      <sz val="12"/>
      <name val="Arial"/>
      <family val="2"/>
    </font>
    <font>
      <b/>
      <sz val="16"/>
      <name val="Arial"/>
      <family val="2"/>
    </font>
    <font>
      <b/>
      <vertAlign val="superscript"/>
      <sz val="16"/>
      <name val="Arial"/>
      <family val="2"/>
    </font>
    <font>
      <b/>
      <sz val="22"/>
      <name val="Arial"/>
      <family val="2"/>
    </font>
    <font>
      <b/>
      <vertAlign val="subscript"/>
      <sz val="14"/>
      <name val="Arial"/>
      <family val="2"/>
    </font>
    <font>
      <sz val="16"/>
      <name val="Arial"/>
      <family val="2"/>
    </font>
    <font>
      <sz val="12"/>
      <name val="Arial"/>
      <family val="2"/>
    </font>
    <font>
      <sz val="14"/>
      <name val="Arial"/>
      <family val="2"/>
    </font>
    <font>
      <vertAlign val="subscript"/>
      <sz val="16"/>
      <name val="Arial"/>
      <family val="2"/>
    </font>
    <font>
      <u/>
      <sz val="18"/>
      <name val="Arial"/>
      <family val="2"/>
    </font>
    <font>
      <b/>
      <i/>
      <sz val="12"/>
      <name val="Arial"/>
      <family val="2"/>
    </font>
    <font>
      <b/>
      <sz val="18"/>
      <color indexed="10"/>
      <name val="Arial"/>
      <family val="2"/>
    </font>
    <font>
      <sz val="8"/>
      <name val="Arial"/>
      <family val="2"/>
    </font>
    <font>
      <vertAlign val="superscript"/>
      <sz val="14"/>
      <name val="Arial"/>
      <family val="2"/>
    </font>
    <font>
      <vertAlign val="subscript"/>
      <sz val="12"/>
      <name val="Arial"/>
      <family val="2"/>
    </font>
    <font>
      <b/>
      <i/>
      <sz val="16"/>
      <name val="Arial"/>
      <family val="2"/>
    </font>
    <font>
      <sz val="10"/>
      <name val="Calibri"/>
      <family val="2"/>
    </font>
    <font>
      <sz val="24"/>
      <name val="Arial"/>
      <family val="2"/>
    </font>
    <font>
      <sz val="22"/>
      <name val="Arial"/>
      <family val="2"/>
    </font>
    <font>
      <sz val="11"/>
      <name val="Arial"/>
      <family val="2"/>
    </font>
    <font>
      <vertAlign val="subscript"/>
      <sz val="14"/>
      <name val="Arial"/>
      <family val="2"/>
    </font>
    <font>
      <sz val="18"/>
      <name val="Arial"/>
      <family val="2"/>
    </font>
    <font>
      <sz val="11"/>
      <color theme="1"/>
      <name val="Calibri"/>
      <family val="2"/>
      <scheme val="minor"/>
    </font>
    <font>
      <u/>
      <sz val="10"/>
      <color theme="10"/>
      <name val="Arial"/>
      <family val="2"/>
    </font>
    <font>
      <b/>
      <sz val="11"/>
      <color theme="1"/>
      <name val="Calibri"/>
      <family val="2"/>
      <scheme val="minor"/>
    </font>
    <font>
      <sz val="13"/>
      <name val="Calibri"/>
      <family val="2"/>
      <scheme val="minor"/>
    </font>
    <font>
      <b/>
      <sz val="12"/>
      <color theme="1"/>
      <name val="Calibri"/>
      <family val="2"/>
      <scheme val="minor"/>
    </font>
    <font>
      <sz val="20"/>
      <color rgb="FFFF0000"/>
      <name val="Arial"/>
      <family val="2"/>
    </font>
    <font>
      <sz val="14"/>
      <color rgb="FFFF0000"/>
      <name val="Arial"/>
      <family val="2"/>
    </font>
    <font>
      <sz val="11"/>
      <color rgb="FF040C28"/>
      <name val="Calibri"/>
      <family val="2"/>
      <scheme val="minor"/>
    </font>
    <font>
      <sz val="11"/>
      <color theme="1"/>
      <name val="Calibri"/>
      <family val="2"/>
    </font>
    <font>
      <b/>
      <sz val="14"/>
      <color theme="1"/>
      <name val="Calibri"/>
      <family val="2"/>
      <scheme val="minor"/>
    </font>
    <font>
      <sz val="12"/>
      <color rgb="FFFF0000"/>
      <name val="Arial"/>
      <family val="2"/>
    </font>
    <font>
      <sz val="17"/>
      <name val="Calibri"/>
      <family val="2"/>
      <scheme val="minor"/>
    </font>
    <font>
      <b/>
      <u/>
      <sz val="13"/>
      <name val="Calibri"/>
      <family val="2"/>
      <scheme val="minor"/>
    </font>
    <font>
      <sz val="11"/>
      <name val="Calibri"/>
      <family val="2"/>
      <scheme val="minor"/>
    </font>
    <font>
      <b/>
      <i/>
      <sz val="14"/>
      <name val="Arial"/>
      <family val="2"/>
    </font>
    <font>
      <b/>
      <i/>
      <vertAlign val="subscript"/>
      <sz val="14"/>
      <name val="Arial"/>
      <family val="2"/>
    </font>
    <font>
      <sz val="11"/>
      <color rgb="FFFF0000"/>
      <name val="Calibri"/>
      <family val="2"/>
      <scheme val="minor"/>
    </font>
    <font>
      <sz val="9"/>
      <name val="Arial"/>
      <family val="2"/>
    </font>
    <font>
      <b/>
      <sz val="9"/>
      <name val="Calibri"/>
      <family val="2"/>
      <scheme val="minor"/>
    </font>
    <font>
      <sz val="10"/>
      <name val="Helv"/>
    </font>
    <font>
      <sz val="9"/>
      <name val="Calibri"/>
      <family val="2"/>
      <scheme val="minor"/>
    </font>
    <font>
      <b/>
      <u/>
      <sz val="11"/>
      <color rgb="FFFF0000"/>
      <name val="Calibri"/>
      <family val="2"/>
      <scheme val="minor"/>
    </font>
    <font>
      <sz val="20"/>
      <name val="Arial"/>
      <family val="2"/>
    </font>
    <font>
      <vertAlign val="superscript"/>
      <sz val="10"/>
      <name val="Arial"/>
      <family val="2"/>
    </font>
    <font>
      <i/>
      <sz val="11"/>
      <color theme="1"/>
      <name val="Calibri"/>
      <family val="2"/>
      <scheme val="minor"/>
    </font>
    <font>
      <b/>
      <i/>
      <sz val="20"/>
      <name val="Arial"/>
      <family val="2"/>
    </font>
    <font>
      <sz val="8"/>
      <name val="Arial"/>
      <family val="2"/>
    </font>
    <font>
      <sz val="11"/>
      <color rgb="FF92D050"/>
      <name val="Calibri"/>
      <family val="2"/>
      <scheme val="minor"/>
    </font>
    <font>
      <b/>
      <vertAlign val="superscript"/>
      <sz val="11"/>
      <color theme="1"/>
      <name val="Calibri"/>
      <family val="2"/>
      <scheme val="minor"/>
    </font>
    <font>
      <i/>
      <sz val="10"/>
      <name val="Arial"/>
      <family val="2"/>
    </font>
    <font>
      <b/>
      <sz val="20"/>
      <color rgb="FFFF0000"/>
      <name val="Calibri"/>
      <family val="2"/>
      <scheme val="minor"/>
    </font>
    <font>
      <b/>
      <sz val="8"/>
      <color rgb="FFFF0000"/>
      <name val="Calibri"/>
      <family val="2"/>
      <scheme val="minor"/>
    </font>
    <font>
      <b/>
      <i/>
      <sz val="11"/>
      <name val="Arial"/>
      <family val="2"/>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
      <patternFill patternType="solid">
        <fgColor rgb="FFC0C0C0"/>
        <bgColor rgb="FF000000"/>
      </patternFill>
    </fill>
    <fill>
      <patternFill patternType="solid">
        <fgColor theme="9" tint="0.79998168889431442"/>
        <bgColor indexed="64"/>
      </patternFill>
    </fill>
    <fill>
      <patternFill patternType="solid">
        <fgColor rgb="FF7030A0"/>
        <bgColor indexed="64"/>
      </patternFill>
    </fill>
    <fill>
      <patternFill patternType="solid">
        <fgColor theme="0" tint="-0.249977111117893"/>
        <bgColor indexed="64"/>
      </patternFill>
    </fill>
    <fill>
      <patternFill patternType="solid">
        <fgColor theme="6"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10">
    <xf numFmtId="0" fontId="0" fillId="0" borderId="0"/>
    <xf numFmtId="0" fontId="31" fillId="0" borderId="0" applyNumberFormat="0" applyFill="0" applyBorder="0" applyAlignment="0" applyProtection="0"/>
    <xf numFmtId="44" fontId="3" fillId="0" borderId="0" applyFont="0" applyFill="0" applyBorder="0" applyAlignment="0" applyProtection="0"/>
    <xf numFmtId="0" fontId="3" fillId="0" borderId="0"/>
    <xf numFmtId="0" fontId="30" fillId="0" borderId="0"/>
    <xf numFmtId="9" fontId="3" fillId="0" borderId="0" applyFont="0" applyFill="0" applyBorder="0" applyAlignment="0" applyProtection="0"/>
    <xf numFmtId="0" fontId="2" fillId="0" borderId="0"/>
    <xf numFmtId="0" fontId="47" fillId="4" borderId="0">
      <protection hidden="1"/>
    </xf>
    <xf numFmtId="0" fontId="2" fillId="0" borderId="0"/>
    <xf numFmtId="164" fontId="3" fillId="0" borderId="0" applyFont="0" applyFill="0" applyBorder="0" applyAlignment="0" applyProtection="0"/>
  </cellStyleXfs>
  <cellXfs count="314">
    <xf numFmtId="0" fontId="0" fillId="0" borderId="0" xfId="0"/>
    <xf numFmtId="0" fontId="0" fillId="0" borderId="0" xfId="0" applyProtection="1">
      <protection hidden="1"/>
    </xf>
    <xf numFmtId="0" fontId="6" fillId="0" borderId="0" xfId="0" applyFont="1" applyProtection="1">
      <protection hidden="1"/>
    </xf>
    <xf numFmtId="0" fontId="8" fillId="0" borderId="1" xfId="0" applyFont="1" applyBorder="1" applyAlignment="1" applyProtection="1">
      <alignment horizontal="left" vertical="top" wrapText="1"/>
      <protection hidden="1"/>
    </xf>
    <xf numFmtId="0" fontId="7" fillId="0" borderId="0" xfId="0" applyFont="1" applyAlignment="1" applyProtection="1">
      <alignment horizontal="right"/>
      <protection hidden="1"/>
    </xf>
    <xf numFmtId="0" fontId="9" fillId="2"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hidden="1"/>
    </xf>
    <xf numFmtId="2" fontId="9" fillId="3" borderId="1" xfId="0" applyNumberFormat="1" applyFont="1" applyFill="1" applyBorder="1" applyAlignment="1" applyProtection="1">
      <alignment horizontal="center" vertical="center"/>
      <protection hidden="1"/>
    </xf>
    <xf numFmtId="165" fontId="9" fillId="3" borderId="1" xfId="0" applyNumberFormat="1"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8" fillId="4" borderId="1"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13" fillId="0" borderId="0" xfId="0" applyFont="1" applyProtection="1">
      <protection hidden="1"/>
    </xf>
    <xf numFmtId="0" fontId="11" fillId="0" borderId="0" xfId="0" applyFont="1" applyProtection="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14" fillId="0" borderId="0" xfId="0" applyFont="1" applyProtection="1">
      <protection hidden="1"/>
    </xf>
    <xf numFmtId="0" fontId="6" fillId="0" borderId="0" xfId="0" applyFont="1" applyAlignment="1" applyProtection="1">
      <alignment horizontal="right" vertical="center"/>
      <protection hidden="1"/>
    </xf>
    <xf numFmtId="0" fontId="7" fillId="0" borderId="1" xfId="0" applyFont="1" applyBorder="1" applyAlignment="1" applyProtection="1">
      <alignment horizontal="left" vertical="center" wrapText="1"/>
      <protection hidden="1"/>
    </xf>
    <xf numFmtId="0" fontId="18" fillId="0" borderId="1" xfId="0" applyFont="1" applyBorder="1" applyAlignment="1" applyProtection="1">
      <alignment horizontal="right" vertical="center" wrapText="1"/>
      <protection hidden="1"/>
    </xf>
    <xf numFmtId="0" fontId="15" fillId="0" borderId="1" xfId="0" applyFont="1" applyBorder="1" applyAlignment="1" applyProtection="1">
      <alignment horizontal="center"/>
      <protection hidden="1"/>
    </xf>
    <xf numFmtId="0" fontId="15" fillId="0" borderId="0" xfId="0" applyFont="1" applyProtection="1">
      <protection hidden="1"/>
    </xf>
    <xf numFmtId="0" fontId="14" fillId="0" borderId="1" xfId="0" applyFont="1" applyBorder="1" applyProtection="1">
      <protection hidden="1"/>
    </xf>
    <xf numFmtId="0" fontId="17" fillId="0" borderId="0" xfId="0" applyFont="1" applyProtection="1">
      <protection hidden="1"/>
    </xf>
    <xf numFmtId="0" fontId="0" fillId="0" borderId="0" xfId="0" applyAlignment="1" applyProtection="1">
      <alignment horizontal="center"/>
      <protection hidden="1"/>
    </xf>
    <xf numFmtId="0" fontId="13" fillId="0" borderId="0" xfId="0" applyFont="1" applyAlignment="1" applyProtection="1">
      <alignment horizontal="center"/>
      <protection hidden="1"/>
    </xf>
    <xf numFmtId="1" fontId="9" fillId="3" borderId="1" xfId="0" applyNumberFormat="1" applyFont="1" applyFill="1" applyBorder="1" applyAlignment="1" applyProtection="1">
      <alignment horizontal="center" vertical="center"/>
      <protection hidden="1"/>
    </xf>
    <xf numFmtId="0" fontId="5" fillId="0" borderId="0" xfId="0" applyFont="1" applyAlignment="1" applyProtection="1">
      <alignment horizontal="center" vertical="top"/>
      <protection hidden="1"/>
    </xf>
    <xf numFmtId="0" fontId="5" fillId="0" borderId="0" xfId="0" applyFont="1" applyAlignment="1" applyProtection="1">
      <alignment horizontal="center"/>
      <protection hidden="1"/>
    </xf>
    <xf numFmtId="0" fontId="24" fillId="0" borderId="0" xfId="0" applyFont="1" applyProtection="1">
      <protection hidden="1"/>
    </xf>
    <xf numFmtId="9" fontId="13" fillId="0" borderId="0" xfId="5" applyFont="1" applyBorder="1" applyAlignment="1" applyProtection="1">
      <protection hidden="1"/>
    </xf>
    <xf numFmtId="14" fontId="25" fillId="0" borderId="0" xfId="0" applyNumberFormat="1" applyFont="1" applyProtection="1">
      <protection hidden="1"/>
    </xf>
    <xf numFmtId="0" fontId="0" fillId="0" borderId="0" xfId="0" applyAlignment="1">
      <alignment horizontal="center"/>
    </xf>
    <xf numFmtId="1" fontId="0" fillId="0" borderId="0" xfId="0" applyNumberFormat="1" applyProtection="1">
      <protection hidden="1"/>
    </xf>
    <xf numFmtId="165" fontId="0" fillId="0" borderId="0" xfId="0" applyNumberFormat="1"/>
    <xf numFmtId="3" fontId="9" fillId="2" borderId="1" xfId="0" applyNumberFormat="1" applyFont="1" applyFill="1" applyBorder="1" applyAlignment="1" applyProtection="1">
      <alignment horizontal="center" vertical="center"/>
      <protection locked="0"/>
    </xf>
    <xf numFmtId="0" fontId="3" fillId="0" borderId="0" xfId="3"/>
    <xf numFmtId="0" fontId="33" fillId="0" borderId="0" xfId="3" applyFont="1"/>
    <xf numFmtId="0" fontId="33" fillId="0" borderId="4" xfId="3" applyFont="1" applyBorder="1" applyAlignment="1">
      <alignment horizontal="center" vertical="center"/>
    </xf>
    <xf numFmtId="0" fontId="33" fillId="0" borderId="0" xfId="3" applyFont="1" applyAlignment="1">
      <alignment vertical="center"/>
    </xf>
    <xf numFmtId="0" fontId="33" fillId="0" borderId="9" xfId="3" applyFont="1" applyBorder="1" applyAlignment="1">
      <alignment vertical="center"/>
    </xf>
    <xf numFmtId="2" fontId="13" fillId="0" borderId="0" xfId="0" applyNumberFormat="1" applyFont="1" applyProtection="1">
      <protection hidden="1"/>
    </xf>
    <xf numFmtId="2" fontId="15" fillId="0" borderId="0" xfId="0" applyNumberFormat="1" applyFont="1" applyProtection="1">
      <protection hidden="1"/>
    </xf>
    <xf numFmtId="0" fontId="3" fillId="0" borderId="0" xfId="0" applyFont="1"/>
    <xf numFmtId="0" fontId="24" fillId="0" borderId="0" xfId="0" applyFont="1"/>
    <xf numFmtId="0" fontId="6" fillId="0" borderId="0" xfId="0" applyFont="1" applyAlignment="1" applyProtection="1">
      <alignment horizontal="center"/>
      <protection hidden="1"/>
    </xf>
    <xf numFmtId="0" fontId="19" fillId="0" borderId="0" xfId="0" applyFont="1" applyAlignment="1" applyProtection="1">
      <alignment horizontal="center"/>
      <protection hidden="1"/>
    </xf>
    <xf numFmtId="0" fontId="9" fillId="2" borderId="2"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3" fillId="0" borderId="0" xfId="0" applyFont="1" applyAlignment="1">
      <alignment vertical="center"/>
    </xf>
    <xf numFmtId="0" fontId="26" fillId="0" borderId="0" xfId="0" applyFont="1" applyProtection="1">
      <protection hidden="1"/>
    </xf>
    <xf numFmtId="0" fontId="15" fillId="0" borderId="3" xfId="0" applyFont="1" applyBorder="1" applyAlignment="1" applyProtection="1">
      <alignment horizontal="center"/>
      <protection hidden="1"/>
    </xf>
    <xf numFmtId="0" fontId="15" fillId="0" borderId="0" xfId="0" applyFont="1" applyAlignment="1" applyProtection="1">
      <alignment vertical="center"/>
      <protection hidden="1"/>
    </xf>
    <xf numFmtId="0" fontId="14" fillId="0" borderId="0" xfId="0" applyFont="1" applyAlignment="1" applyProtection="1">
      <alignment wrapText="1"/>
      <protection hidden="1"/>
    </xf>
    <xf numFmtId="0" fontId="33" fillId="5" borderId="16" xfId="3" applyFont="1" applyFill="1" applyBorder="1" applyAlignment="1">
      <alignment horizontal="center" vertical="center"/>
    </xf>
    <xf numFmtId="0" fontId="33" fillId="5" borderId="17" xfId="3" applyFont="1" applyFill="1" applyBorder="1" applyAlignment="1">
      <alignment horizontal="center" vertical="center"/>
    </xf>
    <xf numFmtId="0" fontId="29" fillId="0" borderId="0" xfId="0" applyFont="1" applyProtection="1">
      <protection hidden="1"/>
    </xf>
    <xf numFmtId="0" fontId="35" fillId="0" borderId="0" xfId="0" applyFont="1" applyProtection="1">
      <protection hidden="1"/>
    </xf>
    <xf numFmtId="0" fontId="36" fillId="0" borderId="0" xfId="0" applyFont="1" applyProtection="1">
      <protection hidden="1"/>
    </xf>
    <xf numFmtId="165" fontId="3" fillId="0" borderId="0" xfId="0" applyNumberFormat="1" applyFont="1" applyAlignment="1">
      <alignment vertical="center"/>
    </xf>
    <xf numFmtId="0" fontId="40" fillId="0" borderId="0" xfId="0" applyFont="1" applyProtection="1">
      <protection hidden="1"/>
    </xf>
    <xf numFmtId="0" fontId="31" fillId="0" borderId="0" xfId="1"/>
    <xf numFmtId="4" fontId="9" fillId="2" borderId="1" xfId="0" applyNumberFormat="1" applyFont="1" applyFill="1" applyBorder="1" applyAlignment="1" applyProtection="1">
      <alignment horizontal="center" vertical="center"/>
      <protection locked="0"/>
    </xf>
    <xf numFmtId="0" fontId="44" fillId="0" borderId="1" xfId="0" applyFont="1" applyBorder="1" applyAlignment="1" applyProtection="1">
      <alignment horizontal="right" vertical="center" wrapText="1"/>
      <protection hidden="1"/>
    </xf>
    <xf numFmtId="4" fontId="3" fillId="0" borderId="0" xfId="0" applyNumberFormat="1" applyFont="1"/>
    <xf numFmtId="0" fontId="3" fillId="0" borderId="0" xfId="0" applyFont="1" applyProtection="1">
      <protection hidden="1"/>
    </xf>
    <xf numFmtId="0" fontId="27" fillId="0" borderId="1" xfId="0" applyFont="1" applyBorder="1" applyAlignment="1" applyProtection="1">
      <alignment horizontal="center" vertical="center"/>
      <protection hidden="1"/>
    </xf>
    <xf numFmtId="0" fontId="2" fillId="0" borderId="0" xfId="6"/>
    <xf numFmtId="0" fontId="32" fillId="9" borderId="29" xfId="6" applyFont="1" applyFill="1" applyBorder="1" applyAlignment="1">
      <alignment horizontal="center"/>
    </xf>
    <xf numFmtId="0" fontId="32" fillId="9" borderId="7" xfId="6" applyFont="1" applyFill="1" applyBorder="1" applyAlignment="1">
      <alignment horizontal="center"/>
    </xf>
    <xf numFmtId="0" fontId="32" fillId="9" borderId="28" xfId="6" applyFont="1" applyFill="1" applyBorder="1" applyAlignment="1">
      <alignment horizontal="center"/>
    </xf>
    <xf numFmtId="0" fontId="2" fillId="0" borderId="18" xfId="6" applyBorder="1"/>
    <xf numFmtId="0" fontId="2" fillId="0" borderId="20" xfId="6" applyBorder="1"/>
    <xf numFmtId="0" fontId="2" fillId="0" borderId="16" xfId="6" applyBorder="1"/>
    <xf numFmtId="0" fontId="2" fillId="0" borderId="1" xfId="6" applyBorder="1"/>
    <xf numFmtId="0" fontId="2" fillId="0" borderId="21" xfId="6" applyBorder="1"/>
    <xf numFmtId="0" fontId="50" fillId="0" borderId="0" xfId="7" applyFont="1" applyFill="1" applyAlignment="1">
      <alignment horizontal="center"/>
      <protection hidden="1"/>
    </xf>
    <xf numFmtId="0" fontId="43" fillId="0" borderId="16" xfId="6" applyFont="1" applyBorder="1"/>
    <xf numFmtId="0" fontId="2" fillId="0" borderId="1" xfId="6" applyBorder="1" applyAlignment="1">
      <alignment horizontal="center"/>
    </xf>
    <xf numFmtId="0" fontId="2" fillId="0" borderId="21" xfId="6" quotePrefix="1" applyBorder="1"/>
    <xf numFmtId="0" fontId="2" fillId="0" borderId="17" xfId="6" applyBorder="1"/>
    <xf numFmtId="2" fontId="2" fillId="0" borderId="23" xfId="6" applyNumberFormat="1" applyBorder="1" applyAlignment="1">
      <alignment horizontal="center"/>
    </xf>
    <xf numFmtId="0" fontId="2" fillId="0" borderId="23" xfId="6" applyBorder="1"/>
    <xf numFmtId="0" fontId="46" fillId="0" borderId="24" xfId="6" applyFont="1" applyBorder="1"/>
    <xf numFmtId="0" fontId="2" fillId="0" borderId="21" xfId="6" applyBorder="1" applyAlignment="1">
      <alignment wrapText="1"/>
    </xf>
    <xf numFmtId="0" fontId="2" fillId="0" borderId="24" xfId="6" applyBorder="1" applyAlignment="1">
      <alignment wrapText="1"/>
    </xf>
    <xf numFmtId="0" fontId="2" fillId="0" borderId="0" xfId="6" applyAlignment="1">
      <alignment horizontal="center"/>
    </xf>
    <xf numFmtId="2" fontId="2" fillId="0" borderId="19" xfId="6" applyNumberFormat="1" applyBorder="1"/>
    <xf numFmtId="2" fontId="2" fillId="0" borderId="23" xfId="6" applyNumberFormat="1" applyBorder="1"/>
    <xf numFmtId="0" fontId="2" fillId="0" borderId="24" xfId="6" applyBorder="1"/>
    <xf numFmtId="165" fontId="2" fillId="0" borderId="19" xfId="6" applyNumberFormat="1" applyBorder="1"/>
    <xf numFmtId="165" fontId="2" fillId="0" borderId="23" xfId="6" applyNumberFormat="1" applyBorder="1"/>
    <xf numFmtId="0" fontId="34" fillId="0" borderId="0" xfId="8" applyFont="1"/>
    <xf numFmtId="0" fontId="2" fillId="0" borderId="0" xfId="8"/>
    <xf numFmtId="0" fontId="2" fillId="0" borderId="29" xfId="8" applyBorder="1" applyAlignment="1">
      <alignment wrapText="1"/>
    </xf>
    <xf numFmtId="1" fontId="2" fillId="0" borderId="7" xfId="8" applyNumberFormat="1" applyBorder="1" applyAlignment="1">
      <alignment horizontal="center"/>
    </xf>
    <xf numFmtId="0" fontId="2" fillId="0" borderId="28" xfId="8" applyBorder="1" applyAlignment="1">
      <alignment horizontal="center"/>
    </xf>
    <xf numFmtId="0" fontId="2" fillId="0" borderId="17" xfId="8" applyBorder="1"/>
    <xf numFmtId="1" fontId="2" fillId="0" borderId="23" xfId="8" applyNumberFormat="1" applyBorder="1" applyAlignment="1">
      <alignment horizontal="center"/>
    </xf>
    <xf numFmtId="0" fontId="2" fillId="0" borderId="24" xfId="8" applyBorder="1" applyAlignment="1">
      <alignment horizontal="center"/>
    </xf>
    <xf numFmtId="2" fontId="2" fillId="0" borderId="0" xfId="8" applyNumberFormat="1"/>
    <xf numFmtId="0" fontId="32" fillId="0" borderId="0" xfId="8" applyFont="1"/>
    <xf numFmtId="0" fontId="37" fillId="0" borderId="0" xfId="3" applyFont="1"/>
    <xf numFmtId="0" fontId="38" fillId="0" borderId="0" xfId="8" applyFont="1"/>
    <xf numFmtId="2" fontId="3" fillId="0" borderId="0" xfId="3" applyNumberFormat="1"/>
    <xf numFmtId="0" fontId="0" fillId="0" borderId="0" xfId="5" applyNumberFormat="1" applyFont="1"/>
    <xf numFmtId="9" fontId="0" fillId="0" borderId="0" xfId="5" applyFont="1"/>
    <xf numFmtId="0" fontId="34" fillId="0" borderId="0" xfId="8" applyFont="1" applyAlignment="1">
      <alignment horizontal="center"/>
    </xf>
    <xf numFmtId="0" fontId="2" fillId="0" borderId="0" xfId="8" applyAlignment="1">
      <alignment horizontal="center"/>
    </xf>
    <xf numFmtId="165" fontId="2" fillId="0" borderId="0" xfId="8" applyNumberFormat="1"/>
    <xf numFmtId="1" fontId="2" fillId="0" borderId="0" xfId="8" applyNumberFormat="1"/>
    <xf numFmtId="0" fontId="3" fillId="0" borderId="0" xfId="3" applyAlignment="1">
      <alignment wrapText="1"/>
    </xf>
    <xf numFmtId="167" fontId="3" fillId="0" borderId="0" xfId="3" applyNumberFormat="1"/>
    <xf numFmtId="0" fontId="51" fillId="0" borderId="0" xfId="6" applyFont="1"/>
    <xf numFmtId="0" fontId="52" fillId="0" borderId="31" xfId="0" applyFont="1" applyBorder="1" applyProtection="1">
      <protection hidden="1"/>
    </xf>
    <xf numFmtId="0" fontId="0" fillId="0" borderId="8" xfId="0" applyBorder="1" applyProtection="1">
      <protection hidden="1"/>
    </xf>
    <xf numFmtId="0" fontId="26" fillId="0" borderId="10" xfId="0" applyFont="1" applyBorder="1" applyProtection="1">
      <protection hidden="1"/>
    </xf>
    <xf numFmtId="0" fontId="23" fillId="0" borderId="1" xfId="0" applyFont="1" applyBorder="1" applyAlignment="1" applyProtection="1">
      <alignment horizontal="right" vertical="center" wrapText="1"/>
      <protection hidden="1"/>
    </xf>
    <xf numFmtId="4" fontId="9" fillId="3" borderId="1" xfId="0" applyNumberFormat="1" applyFont="1" applyFill="1" applyBorder="1" applyAlignment="1" applyProtection="1">
      <alignment horizontal="center" vertical="center"/>
      <protection hidden="1"/>
    </xf>
    <xf numFmtId="0" fontId="2" fillId="10" borderId="1" xfId="6" applyFill="1" applyBorder="1" applyAlignment="1">
      <alignment horizontal="center"/>
    </xf>
    <xf numFmtId="0" fontId="48" fillId="0" borderId="1" xfId="7" applyFont="1" applyFill="1" applyBorder="1" applyAlignment="1">
      <alignment horizontal="center" wrapText="1"/>
      <protection hidden="1"/>
    </xf>
    <xf numFmtId="0" fontId="50" fillId="0" borderId="1" xfId="7" applyFont="1" applyFill="1" applyBorder="1" applyAlignment="1">
      <alignment horizontal="center"/>
      <protection hidden="1"/>
    </xf>
    <xf numFmtId="0" fontId="50" fillId="0" borderId="1" xfId="7" applyFont="1" applyFill="1" applyBorder="1" applyAlignment="1">
      <alignment horizontal="left"/>
      <protection hidden="1"/>
    </xf>
    <xf numFmtId="0" fontId="50" fillId="0" borderId="0" xfId="7" applyFont="1" applyFill="1" applyAlignment="1">
      <alignment horizontal="left"/>
      <protection hidden="1"/>
    </xf>
    <xf numFmtId="0" fontId="2" fillId="0" borderId="16" xfId="6" applyBorder="1" applyAlignment="1">
      <alignment wrapText="1"/>
    </xf>
    <xf numFmtId="0" fontId="32" fillId="9" borderId="35" xfId="6" applyFont="1" applyFill="1" applyBorder="1" applyAlignment="1">
      <alignment horizontal="center"/>
    </xf>
    <xf numFmtId="0" fontId="32" fillId="9" borderId="5" xfId="6" applyFont="1" applyFill="1" applyBorder="1" applyAlignment="1">
      <alignment horizontal="center"/>
    </xf>
    <xf numFmtId="0" fontId="32" fillId="9" borderId="36" xfId="6" applyFont="1" applyFill="1" applyBorder="1" applyAlignment="1">
      <alignment horizontal="center"/>
    </xf>
    <xf numFmtId="0" fontId="2" fillId="0" borderId="19" xfId="6" applyBorder="1"/>
    <xf numFmtId="0" fontId="2" fillId="0" borderId="20" xfId="6" applyBorder="1" applyAlignment="1">
      <alignment wrapText="1"/>
    </xf>
    <xf numFmtId="2" fontId="2" fillId="10" borderId="23" xfId="6" applyNumberFormat="1" applyFill="1" applyBorder="1" applyAlignment="1">
      <alignment horizontal="center"/>
    </xf>
    <xf numFmtId="0" fontId="5" fillId="0" borderId="0" xfId="0" applyFont="1"/>
    <xf numFmtId="0" fontId="54" fillId="0" borderId="0" xfId="8" applyFont="1"/>
    <xf numFmtId="167" fontId="54" fillId="0" borderId="0" xfId="8" applyNumberFormat="1" applyFont="1"/>
    <xf numFmtId="166" fontId="54" fillId="0" borderId="0" xfId="8" applyNumberFormat="1" applyFont="1"/>
    <xf numFmtId="0" fontId="8" fillId="0" borderId="0" xfId="0" applyFont="1" applyAlignment="1" applyProtection="1">
      <alignment horizontal="left" vertical="top" wrapText="1"/>
      <protection hidden="1"/>
    </xf>
    <xf numFmtId="0" fontId="8" fillId="0" borderId="0" xfId="0" applyFont="1" applyAlignment="1" applyProtection="1">
      <alignment horizontal="center" vertical="center" wrapText="1"/>
      <protection hidden="1"/>
    </xf>
    <xf numFmtId="0" fontId="2" fillId="0" borderId="19" xfId="6" applyBorder="1" applyAlignment="1">
      <alignment horizontal="center"/>
    </xf>
    <xf numFmtId="0" fontId="11" fillId="0" borderId="12" xfId="0" applyFont="1" applyBorder="1" applyAlignment="1" applyProtection="1">
      <alignment horizontal="right" vertical="center" wrapText="1"/>
      <protection hidden="1"/>
    </xf>
    <xf numFmtId="0" fontId="18" fillId="0" borderId="16" xfId="0" applyFont="1" applyBorder="1" applyAlignment="1" applyProtection="1">
      <alignment horizontal="right" vertical="center" wrapText="1"/>
      <protection hidden="1"/>
    </xf>
    <xf numFmtId="0" fontId="18" fillId="0" borderId="21" xfId="0" applyFont="1" applyBorder="1" applyAlignment="1" applyProtection="1">
      <alignment horizontal="right" vertical="center" wrapText="1"/>
      <protection hidden="1"/>
    </xf>
    <xf numFmtId="0" fontId="18" fillId="0" borderId="17" xfId="0" applyFont="1" applyBorder="1" applyAlignment="1" applyProtection="1">
      <alignment horizontal="right" vertical="center" wrapText="1"/>
      <protection hidden="1"/>
    </xf>
    <xf numFmtId="0" fontId="8" fillId="0" borderId="23" xfId="0" applyFont="1" applyBorder="1" applyAlignment="1" applyProtection="1">
      <alignment horizontal="center" vertical="center" wrapText="1"/>
      <protection hidden="1"/>
    </xf>
    <xf numFmtId="0" fontId="18" fillId="0" borderId="24" xfId="0" applyFont="1" applyBorder="1" applyAlignment="1" applyProtection="1">
      <alignment horizontal="right" vertical="center" wrapText="1"/>
      <protection hidden="1"/>
    </xf>
    <xf numFmtId="0" fontId="39" fillId="9" borderId="35" xfId="6" applyFont="1" applyFill="1" applyBorder="1" applyAlignment="1">
      <alignment horizontal="center"/>
    </xf>
    <xf numFmtId="0" fontId="39" fillId="9" borderId="5" xfId="6" applyFont="1" applyFill="1" applyBorder="1" applyAlignment="1">
      <alignment horizontal="center"/>
    </xf>
    <xf numFmtId="0" fontId="39" fillId="9" borderId="36" xfId="6" applyFont="1" applyFill="1" applyBorder="1" applyAlignment="1">
      <alignment horizontal="center"/>
    </xf>
    <xf numFmtId="166" fontId="2" fillId="0" borderId="0" xfId="8" applyNumberFormat="1"/>
    <xf numFmtId="2" fontId="57" fillId="0" borderId="0" xfId="8" applyNumberFormat="1" applyFont="1"/>
    <xf numFmtId="0" fontId="57" fillId="0" borderId="0" xfId="8" applyFont="1"/>
    <xf numFmtId="0" fontId="43" fillId="0" borderId="0" xfId="8" applyFont="1"/>
    <xf numFmtId="2" fontId="43" fillId="0" borderId="0" xfId="8" applyNumberFormat="1" applyFont="1"/>
    <xf numFmtId="0" fontId="39" fillId="0" borderId="0" xfId="6" applyFont="1" applyAlignment="1">
      <alignment vertical="center"/>
    </xf>
    <xf numFmtId="0" fontId="8" fillId="11" borderId="1" xfId="0" applyFont="1" applyFill="1" applyBorder="1" applyAlignment="1">
      <alignment horizontal="left" vertical="center" wrapText="1"/>
    </xf>
    <xf numFmtId="0" fontId="2" fillId="0" borderId="1" xfId="8" applyBorder="1"/>
    <xf numFmtId="0" fontId="32" fillId="0" borderId="1" xfId="8" applyFont="1" applyBorder="1"/>
    <xf numFmtId="0" fontId="54" fillId="0" borderId="1" xfId="8" applyFont="1" applyBorder="1"/>
    <xf numFmtId="166" fontId="54" fillId="0" borderId="1" xfId="8" applyNumberFormat="1" applyFont="1" applyBorder="1"/>
    <xf numFmtId="0" fontId="32" fillId="0" borderId="2" xfId="8" applyFont="1" applyBorder="1" applyAlignment="1">
      <alignment horizontal="center"/>
    </xf>
    <xf numFmtId="0" fontId="32" fillId="0" borderId="3" xfId="8" applyFont="1" applyBorder="1" applyAlignment="1">
      <alignment horizontal="center"/>
    </xf>
    <xf numFmtId="0" fontId="32" fillId="0" borderId="2" xfId="8" applyFont="1" applyBorder="1"/>
    <xf numFmtId="0" fontId="32" fillId="0" borderId="3" xfId="8" applyFont="1" applyBorder="1"/>
    <xf numFmtId="0" fontId="32" fillId="12" borderId="1" xfId="8" applyFont="1" applyFill="1" applyBorder="1" applyAlignment="1">
      <alignment horizontal="center"/>
    </xf>
    <xf numFmtId="0" fontId="3" fillId="0" borderId="1" xfId="3" applyBorder="1"/>
    <xf numFmtId="0" fontId="0" fillId="0" borderId="1" xfId="0" applyBorder="1"/>
    <xf numFmtId="0" fontId="59" fillId="0" borderId="0" xfId="0" applyFont="1"/>
    <xf numFmtId="0" fontId="60" fillId="0" borderId="0" xfId="8" applyFont="1"/>
    <xf numFmtId="0" fontId="61" fillId="0" borderId="0" xfId="8" applyFont="1"/>
    <xf numFmtId="167" fontId="54" fillId="0" borderId="0" xfId="8" applyNumberFormat="1" applyFont="1" applyAlignment="1">
      <alignment horizontal="center" vertical="center"/>
    </xf>
    <xf numFmtId="0" fontId="2" fillId="13" borderId="0" xfId="8" applyFill="1"/>
    <xf numFmtId="0" fontId="43" fillId="0" borderId="0" xfId="6" applyFont="1"/>
    <xf numFmtId="0" fontId="43" fillId="0" borderId="17" xfId="6" applyFont="1" applyBorder="1"/>
    <xf numFmtId="0" fontId="3" fillId="0" borderId="0" xfId="0" applyFont="1" applyAlignment="1">
      <alignment wrapText="1"/>
    </xf>
    <xf numFmtId="166" fontId="2" fillId="0" borderId="0" xfId="6" applyNumberFormat="1"/>
    <xf numFmtId="166" fontId="43" fillId="0" borderId="0" xfId="6" applyNumberFormat="1" applyFont="1"/>
    <xf numFmtId="165" fontId="2" fillId="0" borderId="0" xfId="6" applyNumberFormat="1"/>
    <xf numFmtId="0" fontId="62" fillId="0" borderId="40" xfId="0" applyFont="1" applyBorder="1" applyProtection="1">
      <protection hidden="1"/>
    </xf>
    <xf numFmtId="0" fontId="62" fillId="0" borderId="25" xfId="0" applyFont="1" applyBorder="1" applyProtection="1">
      <protection hidden="1"/>
    </xf>
    <xf numFmtId="0" fontId="62" fillId="0" borderId="39" xfId="0" applyFont="1" applyBorder="1" applyAlignment="1" applyProtection="1">
      <alignment horizontal="center"/>
      <protection hidden="1"/>
    </xf>
    <xf numFmtId="0" fontId="62" fillId="0" borderId="41" xfId="0" applyFont="1" applyBorder="1" applyAlignment="1" applyProtection="1">
      <alignment horizontal="center"/>
      <protection hidden="1"/>
    </xf>
    <xf numFmtId="0" fontId="1" fillId="14" borderId="1" xfId="6" applyFont="1" applyFill="1" applyBorder="1" applyAlignment="1">
      <alignment horizontal="center"/>
    </xf>
    <xf numFmtId="0" fontId="2" fillId="0" borderId="29" xfId="6" applyBorder="1"/>
    <xf numFmtId="0" fontId="43" fillId="0" borderId="21" xfId="6" applyFont="1" applyBorder="1"/>
    <xf numFmtId="0" fontId="2" fillId="0" borderId="28" xfId="6" applyBorder="1"/>
    <xf numFmtId="168" fontId="9" fillId="2" borderId="1" xfId="0" applyNumberFormat="1" applyFont="1" applyFill="1" applyBorder="1" applyAlignment="1" applyProtection="1">
      <alignment horizontal="center" vertical="center"/>
      <protection locked="0"/>
    </xf>
    <xf numFmtId="0" fontId="1" fillId="0" borderId="0" xfId="6" applyFont="1"/>
    <xf numFmtId="0" fontId="1" fillId="0" borderId="16" xfId="6" applyFont="1" applyBorder="1"/>
    <xf numFmtId="0" fontId="1" fillId="0" borderId="0" xfId="6" applyFont="1" applyAlignment="1">
      <alignment horizontal="center"/>
    </xf>
    <xf numFmtId="0" fontId="1" fillId="0" borderId="21" xfId="6" applyFont="1" applyBorder="1"/>
    <xf numFmtId="0" fontId="1" fillId="0" borderId="17" xfId="6" applyFont="1" applyBorder="1"/>
    <xf numFmtId="0" fontId="1" fillId="0" borderId="23" xfId="6" applyFont="1" applyBorder="1"/>
    <xf numFmtId="0" fontId="1" fillId="0" borderId="24" xfId="6" applyFont="1" applyBorder="1"/>
    <xf numFmtId="0" fontId="1" fillId="15" borderId="1" xfId="6" applyFont="1" applyFill="1" applyBorder="1" applyAlignment="1">
      <alignment horizontal="center"/>
    </xf>
    <xf numFmtId="0" fontId="1" fillId="0" borderId="0" xfId="8" applyFont="1"/>
    <xf numFmtId="0" fontId="1" fillId="0" borderId="1" xfId="8" applyFont="1" applyBorder="1"/>
    <xf numFmtId="0" fontId="1" fillId="0" borderId="0" xfId="8" applyFont="1" applyAlignment="1">
      <alignment horizontal="center" vertical="center"/>
    </xf>
    <xf numFmtId="0" fontId="1" fillId="6" borderId="0" xfId="8" applyFont="1" applyFill="1"/>
    <xf numFmtId="0" fontId="5" fillId="0" borderId="0" xfId="0" applyFont="1" applyAlignment="1" applyProtection="1">
      <alignment horizontal="left" vertical="center" wrapText="1"/>
      <protection hidden="1"/>
    </xf>
    <xf numFmtId="0" fontId="11" fillId="0" borderId="1" xfId="0" applyFont="1" applyBorder="1" applyAlignment="1" applyProtection="1">
      <alignment horizontal="right" vertical="center" wrapText="1"/>
      <protection hidden="1"/>
    </xf>
    <xf numFmtId="0" fontId="9" fillId="0" borderId="11"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55" fillId="0" borderId="25" xfId="0" applyFont="1" applyBorder="1" applyAlignment="1" applyProtection="1">
      <alignment horizontal="left" vertical="center" wrapText="1"/>
      <protection hidden="1"/>
    </xf>
    <xf numFmtId="0" fontId="55" fillId="0" borderId="27" xfId="0" applyFont="1" applyBorder="1" applyAlignment="1" applyProtection="1">
      <alignment horizontal="left" vertical="center" wrapText="1"/>
      <protection hidden="1"/>
    </xf>
    <xf numFmtId="0" fontId="55" fillId="0" borderId="26" xfId="0" applyFont="1" applyBorder="1" applyAlignment="1" applyProtection="1">
      <alignment horizontal="left" vertical="center" wrapText="1"/>
      <protection hidden="1"/>
    </xf>
    <xf numFmtId="0" fontId="3" fillId="0" borderId="0" xfId="0" applyFont="1" applyAlignment="1">
      <alignment horizontal="center"/>
    </xf>
    <xf numFmtId="0" fontId="0" fillId="0" borderId="0" xfId="0" applyAlignment="1">
      <alignment horizontal="center"/>
    </xf>
    <xf numFmtId="0" fontId="15" fillId="0" borderId="1" xfId="0" applyFont="1" applyBorder="1" applyAlignment="1" applyProtection="1">
      <alignment horizontal="center"/>
      <protection hidden="1"/>
    </xf>
    <xf numFmtId="0" fontId="14" fillId="0" borderId="2" xfId="0" applyFont="1" applyBorder="1" applyAlignment="1" applyProtection="1">
      <alignment wrapText="1"/>
      <protection hidden="1"/>
    </xf>
    <xf numFmtId="0" fontId="14" fillId="0" borderId="15" xfId="0" applyFont="1" applyBorder="1" applyAlignment="1" applyProtection="1">
      <alignment wrapText="1"/>
      <protection hidden="1"/>
    </xf>
    <xf numFmtId="0" fontId="14" fillId="0" borderId="3" xfId="0" applyFont="1" applyBorder="1" applyAlignment="1" applyProtection="1">
      <alignment wrapText="1"/>
      <protection hidden="1"/>
    </xf>
    <xf numFmtId="0" fontId="13" fillId="0" borderId="11" xfId="0" applyFont="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2" fontId="15" fillId="0" borderId="11" xfId="0" applyNumberFormat="1" applyFont="1" applyBorder="1" applyAlignment="1" applyProtection="1">
      <alignment horizontal="center" vertical="center"/>
      <protection hidden="1"/>
    </xf>
    <xf numFmtId="2" fontId="15" fillId="0" borderId="7" xfId="0" applyNumberFormat="1" applyFont="1" applyBorder="1" applyAlignment="1" applyProtection="1">
      <alignment horizontal="center" vertical="center"/>
      <protection hidden="1"/>
    </xf>
    <xf numFmtId="2" fontId="15" fillId="0" borderId="1" xfId="0" applyNumberFormat="1" applyFont="1" applyBorder="1" applyAlignment="1" applyProtection="1">
      <alignment horizontal="center"/>
      <protection hidden="1"/>
    </xf>
    <xf numFmtId="165" fontId="15" fillId="0" borderId="2" xfId="0" applyNumberFormat="1" applyFont="1" applyBorder="1" applyAlignment="1" applyProtection="1">
      <alignment horizontal="center"/>
      <protection hidden="1"/>
    </xf>
    <xf numFmtId="165" fontId="15" fillId="0" borderId="15" xfId="0" applyNumberFormat="1" applyFont="1" applyBorder="1" applyAlignment="1" applyProtection="1">
      <alignment horizontal="center"/>
      <protection hidden="1"/>
    </xf>
    <xf numFmtId="165" fontId="15" fillId="0" borderId="3" xfId="0" applyNumberFormat="1" applyFont="1" applyBorder="1" applyAlignment="1" applyProtection="1">
      <alignment horizontal="center"/>
      <protection hidden="1"/>
    </xf>
    <xf numFmtId="0" fontId="15" fillId="0" borderId="2" xfId="0" applyFont="1" applyBorder="1" applyAlignment="1" applyProtection="1">
      <alignment horizontal="right" wrapText="1"/>
      <protection hidden="1"/>
    </xf>
    <xf numFmtId="0" fontId="15" fillId="0" borderId="15" xfId="0" applyFont="1" applyBorder="1" applyAlignment="1" applyProtection="1">
      <alignment horizontal="right" wrapText="1"/>
      <protection hidden="1"/>
    </xf>
    <xf numFmtId="0" fontId="15" fillId="0" borderId="3" xfId="0" applyFont="1" applyBorder="1" applyAlignment="1" applyProtection="1">
      <alignment horizontal="right" wrapText="1"/>
      <protection hidden="1"/>
    </xf>
    <xf numFmtId="0" fontId="15" fillId="0" borderId="11"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2" xfId="0" applyFont="1" applyBorder="1" applyAlignment="1" applyProtection="1">
      <alignment vertical="center" wrapText="1"/>
      <protection hidden="1"/>
    </xf>
    <xf numFmtId="0" fontId="14" fillId="0" borderId="15" xfId="0" applyFont="1" applyBorder="1" applyAlignment="1" applyProtection="1">
      <alignment vertical="center" wrapText="1"/>
      <protection hidden="1"/>
    </xf>
    <xf numFmtId="0" fontId="14" fillId="0" borderId="3" xfId="0" applyFont="1" applyBorder="1" applyAlignment="1" applyProtection="1">
      <alignment vertical="center" wrapText="1"/>
      <protection hidden="1"/>
    </xf>
    <xf numFmtId="0" fontId="15" fillId="0" borderId="13" xfId="0" applyFont="1" applyBorder="1" applyAlignment="1" applyProtection="1">
      <alignment horizontal="right"/>
      <protection hidden="1"/>
    </xf>
    <xf numFmtId="0" fontId="15" fillId="0" borderId="31" xfId="0" applyFont="1" applyBorder="1" applyAlignment="1" applyProtection="1">
      <alignment horizontal="right"/>
      <protection hidden="1"/>
    </xf>
    <xf numFmtId="0" fontId="5" fillId="0" borderId="0" xfId="0" applyFont="1" applyAlignment="1" applyProtection="1">
      <alignment horizontal="left" vertical="top" wrapText="1"/>
      <protection hidden="1"/>
    </xf>
    <xf numFmtId="0" fontId="15" fillId="0" borderId="13" xfId="0" applyFont="1" applyBorder="1" applyAlignment="1" applyProtection="1">
      <alignment horizontal="center"/>
      <protection hidden="1"/>
    </xf>
    <xf numFmtId="0" fontId="15" fillId="0" borderId="14" xfId="0" applyFont="1" applyBorder="1" applyAlignment="1" applyProtection="1">
      <alignment horizontal="center"/>
      <protection hidden="1"/>
    </xf>
    <xf numFmtId="0" fontId="15" fillId="0" borderId="31" xfId="0" applyFont="1" applyBorder="1" applyAlignment="1" applyProtection="1">
      <alignment horizontal="center"/>
      <protection hidden="1"/>
    </xf>
    <xf numFmtId="0" fontId="15" fillId="0" borderId="10" xfId="0" applyFont="1" applyBorder="1" applyAlignment="1" applyProtection="1">
      <alignment horizontal="center"/>
      <protection hidden="1"/>
    </xf>
    <xf numFmtId="0" fontId="15" fillId="0" borderId="13"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30" xfId="0" applyFont="1" applyBorder="1" applyAlignment="1" applyProtection="1">
      <alignment horizontal="center" vertical="center" wrapText="1"/>
      <protection hidden="1"/>
    </xf>
    <xf numFmtId="0" fontId="15" fillId="0" borderId="31"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2" fontId="15" fillId="0" borderId="12" xfId="0" applyNumberFormat="1" applyFont="1" applyBorder="1" applyAlignment="1" applyProtection="1">
      <alignment horizontal="center"/>
      <protection hidden="1"/>
    </xf>
    <xf numFmtId="2" fontId="15" fillId="0" borderId="14" xfId="0" applyNumberFormat="1" applyFont="1" applyBorder="1" applyAlignment="1" applyProtection="1">
      <alignment horizontal="center"/>
      <protection hidden="1"/>
    </xf>
    <xf numFmtId="2" fontId="15" fillId="0" borderId="8" xfId="0" applyNumberFormat="1" applyFont="1" applyBorder="1" applyAlignment="1" applyProtection="1">
      <alignment horizontal="center"/>
      <protection hidden="1"/>
    </xf>
    <xf numFmtId="2" fontId="15" fillId="0" borderId="10" xfId="0" applyNumberFormat="1" applyFont="1" applyBorder="1" applyAlignment="1" applyProtection="1">
      <alignment horizontal="center"/>
      <protection hidden="1"/>
    </xf>
    <xf numFmtId="0" fontId="15" fillId="0" borderId="13"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15" fillId="0" borderId="31"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2" fontId="15" fillId="0" borderId="13" xfId="0" applyNumberFormat="1" applyFont="1" applyBorder="1" applyAlignment="1" applyProtection="1">
      <alignment horizontal="center" vertical="center"/>
      <protection hidden="1"/>
    </xf>
    <xf numFmtId="2" fontId="15" fillId="0" borderId="14" xfId="0" applyNumberFormat="1" applyFont="1" applyBorder="1" applyAlignment="1" applyProtection="1">
      <alignment horizontal="center" vertical="center"/>
      <protection hidden="1"/>
    </xf>
    <xf numFmtId="2" fontId="15" fillId="0" borderId="31" xfId="0" applyNumberFormat="1" applyFont="1" applyBorder="1" applyAlignment="1" applyProtection="1">
      <alignment horizontal="center" vertical="center"/>
      <protection hidden="1"/>
    </xf>
    <xf numFmtId="2" fontId="15" fillId="0" borderId="10"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5" xfId="0" applyFont="1" applyBorder="1" applyAlignment="1" applyProtection="1">
      <alignment horizontal="center" vertical="center"/>
      <protection hidden="1"/>
    </xf>
    <xf numFmtId="0" fontId="15" fillId="0" borderId="11" xfId="0" applyFont="1" applyBorder="1" applyAlignment="1" applyProtection="1">
      <alignment horizontal="center"/>
      <protection hidden="1"/>
    </xf>
    <xf numFmtId="0" fontId="15" fillId="0" borderId="7" xfId="0" applyFont="1" applyBorder="1" applyAlignment="1" applyProtection="1">
      <alignment horizontal="center"/>
      <protection hidden="1"/>
    </xf>
    <xf numFmtId="2" fontId="15" fillId="0" borderId="11" xfId="0" applyNumberFormat="1" applyFont="1" applyBorder="1" applyAlignment="1" applyProtection="1">
      <alignment horizontal="center"/>
      <protection hidden="1"/>
    </xf>
    <xf numFmtId="2" fontId="15" fillId="0" borderId="7" xfId="0" applyNumberFormat="1" applyFont="1" applyBorder="1" applyAlignment="1" applyProtection="1">
      <alignment horizontal="center"/>
      <protection hidden="1"/>
    </xf>
    <xf numFmtId="0" fontId="15" fillId="0" borderId="2" xfId="0" applyFont="1" applyBorder="1" applyAlignment="1" applyProtection="1">
      <alignment horizontal="right"/>
      <protection hidden="1"/>
    </xf>
    <xf numFmtId="0" fontId="15" fillId="0" borderId="15" xfId="0" applyFont="1" applyBorder="1" applyAlignment="1" applyProtection="1">
      <alignment horizontal="right"/>
      <protection hidden="1"/>
    </xf>
    <xf numFmtId="0" fontId="15" fillId="0" borderId="3" xfId="0" applyFont="1" applyBorder="1" applyAlignment="1" applyProtection="1">
      <alignment horizontal="right"/>
      <protection hidden="1"/>
    </xf>
    <xf numFmtId="2" fontId="15" fillId="0" borderId="2" xfId="0" applyNumberFormat="1" applyFont="1" applyBorder="1" applyAlignment="1" applyProtection="1">
      <alignment horizontal="center"/>
      <protection hidden="1"/>
    </xf>
    <xf numFmtId="2" fontId="15" fillId="0" borderId="15" xfId="0" applyNumberFormat="1" applyFont="1" applyBorder="1" applyAlignment="1" applyProtection="1">
      <alignment horizontal="center"/>
      <protection hidden="1"/>
    </xf>
    <xf numFmtId="2" fontId="15" fillId="0" borderId="3" xfId="0" applyNumberFormat="1" applyFont="1" applyBorder="1" applyAlignment="1" applyProtection="1">
      <alignment horizontal="center"/>
      <protection hidden="1"/>
    </xf>
    <xf numFmtId="0" fontId="15" fillId="0" borderId="1" xfId="0" applyFont="1" applyBorder="1" applyAlignment="1" applyProtection="1">
      <alignment horizontal="right"/>
      <protection hidden="1"/>
    </xf>
    <xf numFmtId="0" fontId="15" fillId="0" borderId="1" xfId="0" applyFont="1" applyBorder="1" applyAlignment="1" applyProtection="1">
      <alignment horizontal="left"/>
      <protection hidden="1"/>
    </xf>
    <xf numFmtId="14" fontId="15" fillId="0" borderId="1" xfId="0" applyNumberFormat="1" applyFont="1" applyBorder="1" applyAlignment="1" applyProtection="1">
      <alignment horizontal="center"/>
      <protection hidden="1"/>
    </xf>
    <xf numFmtId="0" fontId="15" fillId="0" borderId="2" xfId="0" applyFont="1" applyBorder="1" applyAlignment="1" applyProtection="1">
      <alignment horizontal="left"/>
      <protection hidden="1"/>
    </xf>
    <xf numFmtId="0" fontId="15" fillId="0" borderId="15" xfId="0" applyFont="1" applyBorder="1" applyAlignment="1" applyProtection="1">
      <alignment horizontal="left"/>
      <protection hidden="1"/>
    </xf>
    <xf numFmtId="0" fontId="15" fillId="0" borderId="3" xfId="0" applyFont="1" applyBorder="1" applyAlignment="1" applyProtection="1">
      <alignment horizontal="left"/>
      <protection hidden="1"/>
    </xf>
    <xf numFmtId="0" fontId="15" fillId="0" borderId="1" xfId="0" applyFont="1" applyBorder="1" applyAlignment="1" applyProtection="1">
      <alignment horizontal="right" wrapText="1"/>
      <protection hidden="1"/>
    </xf>
    <xf numFmtId="3" fontId="15" fillId="0" borderId="1" xfId="0" applyNumberFormat="1" applyFont="1" applyBorder="1" applyAlignment="1" applyProtection="1">
      <alignment horizontal="center"/>
      <protection hidden="1"/>
    </xf>
    <xf numFmtId="0" fontId="27" fillId="0" borderId="1" xfId="0" applyFont="1" applyBorder="1" applyAlignment="1" applyProtection="1">
      <alignment horizontal="center" vertical="center"/>
      <protection hidden="1"/>
    </xf>
    <xf numFmtId="0" fontId="33" fillId="5" borderId="1" xfId="3" applyFont="1" applyFill="1" applyBorder="1" applyAlignment="1">
      <alignment horizontal="left" vertical="center"/>
    </xf>
    <xf numFmtId="0" fontId="33" fillId="5" borderId="21" xfId="3" applyFont="1" applyFill="1" applyBorder="1" applyAlignment="1">
      <alignment horizontal="left" vertical="center"/>
    </xf>
    <xf numFmtId="0" fontId="33" fillId="5" borderId="23" xfId="3" applyFont="1" applyFill="1" applyBorder="1" applyAlignment="1">
      <alignment horizontal="left" vertical="center"/>
    </xf>
    <xf numFmtId="0" fontId="33" fillId="5" borderId="24" xfId="3" applyFont="1" applyFill="1" applyBorder="1" applyAlignment="1">
      <alignment horizontal="left" vertical="center"/>
    </xf>
    <xf numFmtId="0" fontId="33" fillId="0" borderId="0" xfId="3" applyFont="1" applyAlignment="1">
      <alignment horizontal="center"/>
    </xf>
    <xf numFmtId="0" fontId="41" fillId="7" borderId="1" xfId="3" applyFont="1" applyFill="1" applyBorder="1" applyAlignment="1">
      <alignment horizontal="center"/>
    </xf>
    <xf numFmtId="0" fontId="33" fillId="5" borderId="1" xfId="3" applyFont="1" applyFill="1" applyBorder="1" applyAlignment="1">
      <alignment horizontal="left"/>
    </xf>
    <xf numFmtId="0" fontId="33" fillId="8" borderId="1" xfId="3" applyFont="1" applyFill="1" applyBorder="1" applyAlignment="1">
      <alignment horizontal="left"/>
    </xf>
    <xf numFmtId="0" fontId="42" fillId="0" borderId="22" xfId="3" applyFont="1" applyBorder="1" applyAlignment="1">
      <alignment horizontal="center"/>
    </xf>
    <xf numFmtId="0" fontId="33" fillId="0" borderId="18" xfId="3" applyFont="1" applyBorder="1" applyAlignment="1">
      <alignment horizontal="center" vertical="center"/>
    </xf>
    <xf numFmtId="0" fontId="33" fillId="0" borderId="17" xfId="3" applyFont="1" applyBorder="1" applyAlignment="1">
      <alignment horizontal="center" vertical="center"/>
    </xf>
    <xf numFmtId="0" fontId="33" fillId="0" borderId="19" xfId="3" applyFont="1" applyBorder="1" applyAlignment="1">
      <alignment horizontal="left" vertical="center"/>
    </xf>
    <xf numFmtId="0" fontId="33" fillId="0" borderId="20" xfId="3" applyFont="1" applyBorder="1" applyAlignment="1">
      <alignment horizontal="left" vertical="center"/>
    </xf>
    <xf numFmtId="0" fontId="33" fillId="0" borderId="23" xfId="3" applyFont="1" applyBorder="1" applyAlignment="1">
      <alignment horizontal="left" vertical="center"/>
    </xf>
    <xf numFmtId="0" fontId="33" fillId="0" borderId="24" xfId="3" applyFont="1" applyBorder="1" applyAlignment="1">
      <alignment horizontal="left" vertical="center"/>
    </xf>
    <xf numFmtId="0" fontId="34" fillId="9" borderId="32" xfId="8" applyFont="1" applyFill="1" applyBorder="1" applyAlignment="1">
      <alignment horizontal="center"/>
    </xf>
    <xf numFmtId="0" fontId="34" fillId="9" borderId="34" xfId="8" applyFont="1" applyFill="1" applyBorder="1" applyAlignment="1">
      <alignment horizontal="center"/>
    </xf>
    <xf numFmtId="0" fontId="34" fillId="9" borderId="33" xfId="8" applyFont="1" applyFill="1" applyBorder="1" applyAlignment="1">
      <alignment horizontal="center"/>
    </xf>
    <xf numFmtId="0" fontId="39" fillId="0" borderId="0" xfId="6" applyFont="1" applyAlignment="1">
      <alignment horizontal="center"/>
    </xf>
    <xf numFmtId="0" fontId="34" fillId="9" borderId="32" xfId="6" applyFont="1" applyFill="1" applyBorder="1" applyAlignment="1">
      <alignment horizontal="center"/>
    </xf>
    <xf numFmtId="0" fontId="34" fillId="9" borderId="34" xfId="6" applyFont="1" applyFill="1" applyBorder="1" applyAlignment="1">
      <alignment horizontal="center"/>
    </xf>
    <xf numFmtId="0" fontId="34" fillId="9" borderId="33" xfId="6" applyFont="1" applyFill="1" applyBorder="1" applyAlignment="1">
      <alignment horizontal="center"/>
    </xf>
    <xf numFmtId="0" fontId="32" fillId="9" borderId="37" xfId="6" applyFont="1" applyFill="1" applyBorder="1" applyAlignment="1">
      <alignment horizontal="center"/>
    </xf>
    <xf numFmtId="0" fontId="32" fillId="9" borderId="38" xfId="6" applyFont="1" applyFill="1" applyBorder="1" applyAlignment="1">
      <alignment horizontal="center"/>
    </xf>
    <xf numFmtId="0" fontId="32" fillId="9" borderId="32" xfId="6" applyFont="1" applyFill="1" applyBorder="1" applyAlignment="1">
      <alignment horizontal="center"/>
    </xf>
    <xf numFmtId="0" fontId="32" fillId="9" borderId="34" xfId="6" applyFont="1" applyFill="1" applyBorder="1" applyAlignment="1">
      <alignment horizontal="center"/>
    </xf>
    <xf numFmtId="0" fontId="32" fillId="9" borderId="33" xfId="6" applyFont="1" applyFill="1" applyBorder="1" applyAlignment="1">
      <alignment horizontal="center"/>
    </xf>
    <xf numFmtId="0" fontId="1" fillId="0" borderId="0" xfId="8" applyFont="1" applyAlignment="1">
      <alignment horizontal="center"/>
    </xf>
    <xf numFmtId="0" fontId="2" fillId="0" borderId="0" xfId="8" applyAlignment="1">
      <alignment horizontal="center"/>
    </xf>
    <xf numFmtId="0" fontId="32" fillId="12" borderId="2" xfId="8" applyFont="1" applyFill="1" applyBorder="1" applyAlignment="1">
      <alignment horizontal="center"/>
    </xf>
    <xf numFmtId="0" fontId="32" fillId="12" borderId="3" xfId="8" applyFont="1" applyFill="1" applyBorder="1" applyAlignment="1">
      <alignment horizontal="center"/>
    </xf>
    <xf numFmtId="0" fontId="32" fillId="0" borderId="2" xfId="8" applyFont="1" applyBorder="1" applyAlignment="1">
      <alignment horizontal="center"/>
    </xf>
    <xf numFmtId="0" fontId="32" fillId="0" borderId="3" xfId="8" applyFont="1" applyBorder="1" applyAlignment="1">
      <alignment horizontal="center"/>
    </xf>
    <xf numFmtId="0" fontId="32" fillId="12" borderId="1" xfId="8" applyFont="1" applyFill="1" applyBorder="1" applyAlignment="1">
      <alignment horizontal="center"/>
    </xf>
    <xf numFmtId="0" fontId="39" fillId="12" borderId="0" xfId="8" applyFont="1" applyFill="1" applyAlignment="1">
      <alignment horizontal="center"/>
    </xf>
    <xf numFmtId="0" fontId="5" fillId="12" borderId="1" xfId="0" applyFont="1" applyFill="1" applyBorder="1" applyAlignment="1">
      <alignment horizontal="center"/>
    </xf>
    <xf numFmtId="0" fontId="5" fillId="12" borderId="2" xfId="0" applyFont="1" applyFill="1" applyBorder="1" applyAlignment="1">
      <alignment horizontal="center"/>
    </xf>
    <xf numFmtId="0" fontId="5" fillId="12" borderId="3" xfId="0" applyFont="1" applyFill="1" applyBorder="1" applyAlignment="1">
      <alignment horizontal="center"/>
    </xf>
  </cellXfs>
  <cellStyles count="10">
    <cellStyle name="Hyperlink" xfId="1" builtinId="8"/>
    <cellStyle name="Monétaire 2" xfId="2" xr:uid="{00000000-0005-0000-0000-000002000000}"/>
    <cellStyle name="Monétaire 3" xfId="9" xr:uid="{96F021D6-891E-4660-B049-198895455CFB}"/>
    <cellStyle name="Normal" xfId="0" builtinId="0"/>
    <cellStyle name="Normal 2" xfId="3" xr:uid="{00000000-0005-0000-0000-000004000000}"/>
    <cellStyle name="Normal 3" xfId="4" xr:uid="{00000000-0005-0000-0000-000005000000}"/>
    <cellStyle name="Normal 3 2" xfId="8" xr:uid="{D21B5301-5A43-489B-A62D-FD81AA7BEEEB}"/>
    <cellStyle name="Normal 4" xfId="6" xr:uid="{0587112D-5413-4BB8-B8FB-1CEB29061921}"/>
    <cellStyle name="Normal_SDSFP" xfId="7" xr:uid="{6F099E44-63F6-42FE-9FFE-4E74C6EBDF14}"/>
    <cellStyle name="Percent" xfId="5"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Little giant</a:t>
            </a:r>
            <a:r>
              <a:rPr lang="fr-CA" baseline="0"/>
              <a:t> pumps</a:t>
            </a:r>
            <a:endParaRPr lang="fr-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CA"/>
        </a:p>
      </c:txPr>
    </c:title>
    <c:autoTitleDeleted val="0"/>
    <c:plotArea>
      <c:layout/>
      <c:scatterChart>
        <c:scatterStyle val="smoothMarker"/>
        <c:varyColors val="0"/>
        <c:ser>
          <c:idx val="0"/>
          <c:order val="0"/>
          <c:tx>
            <c:v>WS30M</c:v>
          </c:tx>
          <c:spPr>
            <a:ln w="19050" cap="rnd">
              <a:solidFill>
                <a:schemeClr val="accent1"/>
              </a:solidFill>
              <a:round/>
            </a:ln>
            <a:effectLst/>
          </c:spPr>
          <c:marker>
            <c:symbol val="none"/>
          </c:marker>
          <c:xVal>
            <c:numRef>
              <c:f>'Courbes de pompes'!$A$62:$A$67</c:f>
              <c:numCache>
                <c:formatCode>General</c:formatCode>
                <c:ptCount val="6"/>
                <c:pt idx="0">
                  <c:v>105</c:v>
                </c:pt>
                <c:pt idx="1">
                  <c:v>90</c:v>
                </c:pt>
                <c:pt idx="2">
                  <c:v>70</c:v>
                </c:pt>
                <c:pt idx="3">
                  <c:v>45</c:v>
                </c:pt>
                <c:pt idx="4">
                  <c:v>15</c:v>
                </c:pt>
                <c:pt idx="5">
                  <c:v>0</c:v>
                </c:pt>
              </c:numCache>
            </c:numRef>
          </c:xVal>
          <c:yVal>
            <c:numRef>
              <c:f>'Courbes de pompes'!$B$62:$B$67</c:f>
              <c:numCache>
                <c:formatCode>General</c:formatCode>
                <c:ptCount val="6"/>
                <c:pt idx="0">
                  <c:v>6</c:v>
                </c:pt>
                <c:pt idx="1">
                  <c:v>10</c:v>
                </c:pt>
                <c:pt idx="2">
                  <c:v>15</c:v>
                </c:pt>
                <c:pt idx="3">
                  <c:v>20</c:v>
                </c:pt>
                <c:pt idx="4">
                  <c:v>25</c:v>
                </c:pt>
                <c:pt idx="5">
                  <c:v>26</c:v>
                </c:pt>
              </c:numCache>
            </c:numRef>
          </c:yVal>
          <c:smooth val="1"/>
          <c:extLst>
            <c:ext xmlns:c16="http://schemas.microsoft.com/office/drawing/2014/chart" uri="{C3380CC4-5D6E-409C-BE32-E72D297353CC}">
              <c16:uniqueId val="{00000000-FB60-44FD-8D3D-230C52D1F961}"/>
            </c:ext>
          </c:extLst>
        </c:ser>
        <c:ser>
          <c:idx val="1"/>
          <c:order val="1"/>
          <c:tx>
            <c:v>WS50M</c:v>
          </c:tx>
          <c:spPr>
            <a:ln w="19050" cap="rnd">
              <a:solidFill>
                <a:schemeClr val="accent2"/>
              </a:solidFill>
              <a:round/>
            </a:ln>
            <a:effectLst/>
          </c:spPr>
          <c:marker>
            <c:symbol val="none"/>
          </c:marker>
          <c:xVal>
            <c:numRef>
              <c:f>'Courbes de pompes'!$D$62:$D$67</c:f>
              <c:numCache>
                <c:formatCode>General</c:formatCode>
                <c:ptCount val="6"/>
                <c:pt idx="0">
                  <c:v>105</c:v>
                </c:pt>
                <c:pt idx="1">
                  <c:v>90</c:v>
                </c:pt>
                <c:pt idx="2">
                  <c:v>80</c:v>
                </c:pt>
                <c:pt idx="3">
                  <c:v>64</c:v>
                </c:pt>
                <c:pt idx="4">
                  <c:v>50</c:v>
                </c:pt>
                <c:pt idx="5">
                  <c:v>0</c:v>
                </c:pt>
              </c:numCache>
            </c:numRef>
          </c:xVal>
          <c:yVal>
            <c:numRef>
              <c:f>'Courbes de pompes'!$E$62:$E$67</c:f>
              <c:numCache>
                <c:formatCode>General</c:formatCode>
                <c:ptCount val="6"/>
                <c:pt idx="0">
                  <c:v>6</c:v>
                </c:pt>
                <c:pt idx="1">
                  <c:v>10</c:v>
                </c:pt>
                <c:pt idx="2">
                  <c:v>15</c:v>
                </c:pt>
                <c:pt idx="3">
                  <c:v>20</c:v>
                </c:pt>
                <c:pt idx="4">
                  <c:v>25</c:v>
                </c:pt>
                <c:pt idx="5">
                  <c:v>42</c:v>
                </c:pt>
              </c:numCache>
            </c:numRef>
          </c:yVal>
          <c:smooth val="1"/>
          <c:extLst>
            <c:ext xmlns:c16="http://schemas.microsoft.com/office/drawing/2014/chart" uri="{C3380CC4-5D6E-409C-BE32-E72D297353CC}">
              <c16:uniqueId val="{00000001-FB60-44FD-8D3D-230C52D1F961}"/>
            </c:ext>
          </c:extLst>
        </c:ser>
        <c:ser>
          <c:idx val="2"/>
          <c:order val="2"/>
          <c:tx>
            <c:v>WS50H</c:v>
          </c:tx>
          <c:spPr>
            <a:ln w="19050" cap="rnd">
              <a:solidFill>
                <a:schemeClr val="accent3"/>
              </a:solidFill>
              <a:round/>
            </a:ln>
            <a:effectLst/>
          </c:spPr>
          <c:marker>
            <c:symbol val="none"/>
          </c:marker>
          <c:xVal>
            <c:numRef>
              <c:f>'Courbes de pompes'!$G$62:$G$72</c:f>
              <c:numCache>
                <c:formatCode>General</c:formatCode>
                <c:ptCount val="11"/>
                <c:pt idx="0">
                  <c:v>130</c:v>
                </c:pt>
                <c:pt idx="1">
                  <c:v>115</c:v>
                </c:pt>
                <c:pt idx="2">
                  <c:v>107</c:v>
                </c:pt>
                <c:pt idx="3">
                  <c:v>98</c:v>
                </c:pt>
                <c:pt idx="4">
                  <c:v>88</c:v>
                </c:pt>
                <c:pt idx="5">
                  <c:v>78</c:v>
                </c:pt>
                <c:pt idx="6">
                  <c:v>67</c:v>
                </c:pt>
                <c:pt idx="7">
                  <c:v>57</c:v>
                </c:pt>
                <c:pt idx="8">
                  <c:v>43</c:v>
                </c:pt>
                <c:pt idx="9">
                  <c:v>30</c:v>
                </c:pt>
                <c:pt idx="10">
                  <c:v>0</c:v>
                </c:pt>
              </c:numCache>
            </c:numRef>
          </c:xVal>
          <c:yVal>
            <c:numRef>
              <c:f>'Courbes de pompes'!$H$62:$H$72</c:f>
              <c:numCache>
                <c:formatCode>General</c:formatCode>
                <c:ptCount val="11"/>
                <c:pt idx="0">
                  <c:v>6</c:v>
                </c:pt>
                <c:pt idx="1">
                  <c:v>10</c:v>
                </c:pt>
                <c:pt idx="2">
                  <c:v>15</c:v>
                </c:pt>
                <c:pt idx="3">
                  <c:v>20</c:v>
                </c:pt>
                <c:pt idx="4">
                  <c:v>25</c:v>
                </c:pt>
                <c:pt idx="5">
                  <c:v>30</c:v>
                </c:pt>
                <c:pt idx="6">
                  <c:v>35</c:v>
                </c:pt>
                <c:pt idx="7">
                  <c:v>40</c:v>
                </c:pt>
                <c:pt idx="8">
                  <c:v>45</c:v>
                </c:pt>
                <c:pt idx="9">
                  <c:v>50</c:v>
                </c:pt>
                <c:pt idx="10">
                  <c:v>62</c:v>
                </c:pt>
              </c:numCache>
            </c:numRef>
          </c:yVal>
          <c:smooth val="1"/>
          <c:extLst>
            <c:ext xmlns:c16="http://schemas.microsoft.com/office/drawing/2014/chart" uri="{C3380CC4-5D6E-409C-BE32-E72D297353CC}">
              <c16:uniqueId val="{00000002-FB60-44FD-8D3D-230C52D1F961}"/>
            </c:ext>
          </c:extLst>
        </c:ser>
        <c:ser>
          <c:idx val="3"/>
          <c:order val="3"/>
          <c:tx>
            <c:v>WS100H</c:v>
          </c:tx>
          <c:spPr>
            <a:ln w="19050" cap="rnd">
              <a:solidFill>
                <a:schemeClr val="accent4"/>
              </a:solidFill>
              <a:round/>
            </a:ln>
            <a:effectLst/>
          </c:spPr>
          <c:marker>
            <c:symbol val="none"/>
          </c:marker>
          <c:xVal>
            <c:numRef>
              <c:f>'Courbes de pompes'!$K$62:$K$73</c:f>
              <c:numCache>
                <c:formatCode>General</c:formatCode>
                <c:ptCount val="12"/>
                <c:pt idx="0">
                  <c:v>150</c:v>
                </c:pt>
                <c:pt idx="1">
                  <c:v>145</c:v>
                </c:pt>
                <c:pt idx="2">
                  <c:v>140</c:v>
                </c:pt>
                <c:pt idx="3">
                  <c:v>134</c:v>
                </c:pt>
                <c:pt idx="4">
                  <c:v>128</c:v>
                </c:pt>
                <c:pt idx="5">
                  <c:v>121</c:v>
                </c:pt>
                <c:pt idx="6">
                  <c:v>115</c:v>
                </c:pt>
                <c:pt idx="7">
                  <c:v>106</c:v>
                </c:pt>
                <c:pt idx="8">
                  <c:v>97</c:v>
                </c:pt>
                <c:pt idx="9">
                  <c:v>76</c:v>
                </c:pt>
                <c:pt idx="10">
                  <c:v>27</c:v>
                </c:pt>
                <c:pt idx="11">
                  <c:v>0</c:v>
                </c:pt>
              </c:numCache>
            </c:numRef>
          </c:xVal>
          <c:yVal>
            <c:numRef>
              <c:f>'Courbes de pompes'!$L$62:$L$73</c:f>
              <c:numCache>
                <c:formatCode>General</c:formatCode>
                <c:ptCount val="12"/>
                <c:pt idx="0">
                  <c:v>10</c:v>
                </c:pt>
                <c:pt idx="1">
                  <c:v>15</c:v>
                </c:pt>
                <c:pt idx="2">
                  <c:v>20</c:v>
                </c:pt>
                <c:pt idx="3">
                  <c:v>25</c:v>
                </c:pt>
                <c:pt idx="4">
                  <c:v>30</c:v>
                </c:pt>
                <c:pt idx="5">
                  <c:v>35</c:v>
                </c:pt>
                <c:pt idx="6">
                  <c:v>40</c:v>
                </c:pt>
                <c:pt idx="7">
                  <c:v>45</c:v>
                </c:pt>
                <c:pt idx="8">
                  <c:v>50</c:v>
                </c:pt>
                <c:pt idx="9">
                  <c:v>60</c:v>
                </c:pt>
                <c:pt idx="10">
                  <c:v>80</c:v>
                </c:pt>
                <c:pt idx="11">
                  <c:v>90</c:v>
                </c:pt>
              </c:numCache>
            </c:numRef>
          </c:yVal>
          <c:smooth val="1"/>
          <c:extLst>
            <c:ext xmlns:c16="http://schemas.microsoft.com/office/drawing/2014/chart" uri="{C3380CC4-5D6E-409C-BE32-E72D297353CC}">
              <c16:uniqueId val="{00000003-FB60-44FD-8D3D-230C52D1F961}"/>
            </c:ext>
          </c:extLst>
        </c:ser>
        <c:ser>
          <c:idx val="4"/>
          <c:order val="4"/>
          <c:tx>
            <c:v>Operation point</c:v>
          </c:tx>
          <c:spPr>
            <a:ln w="19050" cap="rnd">
              <a:noFill/>
              <a:round/>
            </a:ln>
            <a:effectLst/>
          </c:spPr>
          <c:marker>
            <c:symbol val="circle"/>
            <c:size val="7"/>
            <c:spPr>
              <a:solidFill>
                <a:srgbClr val="FF0000"/>
              </a:solidFill>
              <a:ln w="9525">
                <a:noFill/>
              </a:ln>
              <a:effectLst/>
            </c:spPr>
          </c:marker>
          <c:xVal>
            <c:numRef>
              <c:f>'Pump calculator'!$B$29</c:f>
              <c:numCache>
                <c:formatCode>0.0</c:formatCode>
                <c:ptCount val="1"/>
                <c:pt idx="0">
                  <c:v>0</c:v>
                </c:pt>
              </c:numCache>
            </c:numRef>
          </c:xVal>
          <c:yVal>
            <c:numRef>
              <c:f>'Pump calculator'!$B$28</c:f>
              <c:numCache>
                <c:formatCode>0.0</c:formatCode>
                <c:ptCount val="1"/>
                <c:pt idx="0">
                  <c:v>0</c:v>
                </c:pt>
              </c:numCache>
            </c:numRef>
          </c:yVal>
          <c:smooth val="1"/>
          <c:extLst>
            <c:ext xmlns:c16="http://schemas.microsoft.com/office/drawing/2014/chart" uri="{C3380CC4-5D6E-409C-BE32-E72D297353CC}">
              <c16:uniqueId val="{00000004-FB60-44FD-8D3D-230C52D1F961}"/>
            </c:ext>
          </c:extLst>
        </c:ser>
        <c:ser>
          <c:idx val="6"/>
          <c:order val="5"/>
          <c:tx>
            <c:v>Dash line</c:v>
          </c:tx>
          <c:spPr>
            <a:ln w="19050" cap="rnd">
              <a:solidFill>
                <a:schemeClr val="tx1"/>
              </a:solidFill>
              <a:prstDash val="dash"/>
              <a:round/>
            </a:ln>
            <a:effectLst/>
          </c:spPr>
          <c:marker>
            <c:symbol val="none"/>
          </c:marker>
          <c:xVal>
            <c:numRef>
              <c:f>'Pump calculator'!$B$74:$B$75</c:f>
              <c:numCache>
                <c:formatCode>0.0</c:formatCode>
                <c:ptCount val="2"/>
                <c:pt idx="0" formatCode="General">
                  <c:v>0</c:v>
                </c:pt>
                <c:pt idx="1">
                  <c:v>140</c:v>
                </c:pt>
              </c:numCache>
            </c:numRef>
          </c:xVal>
          <c:yVal>
            <c:numRef>
              <c:f>'Pump calculator'!$C$74:$C$75</c:f>
              <c:numCache>
                <c:formatCode>0.0</c:formatCode>
                <c:ptCount val="2"/>
                <c:pt idx="0">
                  <c:v>0</c:v>
                </c:pt>
                <c:pt idx="1">
                  <c:v>0</c:v>
                </c:pt>
              </c:numCache>
            </c:numRef>
          </c:yVal>
          <c:smooth val="1"/>
          <c:extLst>
            <c:ext xmlns:c16="http://schemas.microsoft.com/office/drawing/2014/chart" uri="{C3380CC4-5D6E-409C-BE32-E72D297353CC}">
              <c16:uniqueId val="{00000006-FB60-44FD-8D3D-230C52D1F961}"/>
            </c:ext>
          </c:extLst>
        </c:ser>
        <c:dLbls>
          <c:showLegendKey val="0"/>
          <c:showVal val="0"/>
          <c:showCatName val="0"/>
          <c:showSerName val="0"/>
          <c:showPercent val="0"/>
          <c:showBubbleSize val="0"/>
        </c:dLbls>
        <c:axId val="40749904"/>
        <c:axId val="40746544"/>
      </c:scatterChart>
      <c:valAx>
        <c:axId val="40749904"/>
        <c:scaling>
          <c:orientation val="minMax"/>
          <c:max val="16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A"/>
                  <a:t>Flow (gpm)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746544"/>
        <c:crosses val="autoZero"/>
        <c:crossBetween val="midCat"/>
        <c:majorUnit val="10"/>
      </c:valAx>
      <c:valAx>
        <c:axId val="40746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A"/>
                  <a:t>Head loss (ft)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74990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Liberty pumps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Liberty 250</c:v>
          </c:tx>
          <c:spPr>
            <a:ln w="19050" cap="rnd">
              <a:solidFill>
                <a:schemeClr val="accent1"/>
              </a:solidFill>
              <a:round/>
            </a:ln>
            <a:effectLst/>
          </c:spPr>
          <c:marker>
            <c:symbol val="none"/>
          </c:marker>
          <c:xVal>
            <c:numRef>
              <c:f>'Courbes de pompes'!$A$33:$A$38</c:f>
              <c:numCache>
                <c:formatCode>General</c:formatCode>
                <c:ptCount val="6"/>
                <c:pt idx="0">
                  <c:v>50</c:v>
                </c:pt>
                <c:pt idx="1">
                  <c:v>40</c:v>
                </c:pt>
                <c:pt idx="2">
                  <c:v>30</c:v>
                </c:pt>
                <c:pt idx="3">
                  <c:v>20</c:v>
                </c:pt>
                <c:pt idx="4">
                  <c:v>10</c:v>
                </c:pt>
                <c:pt idx="5">
                  <c:v>0</c:v>
                </c:pt>
              </c:numCache>
            </c:numRef>
          </c:xVal>
          <c:yVal>
            <c:numRef>
              <c:f>'Courbes de pompes'!$B$33:$B$38</c:f>
              <c:numCache>
                <c:formatCode>General</c:formatCode>
                <c:ptCount val="6"/>
                <c:pt idx="0">
                  <c:v>1</c:v>
                </c:pt>
                <c:pt idx="1">
                  <c:v>8</c:v>
                </c:pt>
                <c:pt idx="2">
                  <c:v>13.5</c:v>
                </c:pt>
                <c:pt idx="3">
                  <c:v>18</c:v>
                </c:pt>
                <c:pt idx="4">
                  <c:v>21</c:v>
                </c:pt>
                <c:pt idx="5">
                  <c:v>23</c:v>
                </c:pt>
              </c:numCache>
            </c:numRef>
          </c:yVal>
          <c:smooth val="1"/>
          <c:extLst>
            <c:ext xmlns:c16="http://schemas.microsoft.com/office/drawing/2014/chart" uri="{C3380CC4-5D6E-409C-BE32-E72D297353CC}">
              <c16:uniqueId val="{00000000-54C1-4BA3-99AE-5A7E7182454A}"/>
            </c:ext>
          </c:extLst>
        </c:ser>
        <c:ser>
          <c:idx val="1"/>
          <c:order val="1"/>
          <c:tx>
            <c:v>Liberty 280</c:v>
          </c:tx>
          <c:spPr>
            <a:ln w="19050" cap="rnd">
              <a:solidFill>
                <a:schemeClr val="accent2"/>
              </a:solidFill>
              <a:round/>
            </a:ln>
            <a:effectLst/>
          </c:spPr>
          <c:marker>
            <c:symbol val="none"/>
          </c:marker>
          <c:xVal>
            <c:numRef>
              <c:f>'Courbes de pompes'!$D$33:$D$40</c:f>
              <c:numCache>
                <c:formatCode>General</c:formatCode>
                <c:ptCount val="8"/>
                <c:pt idx="0">
                  <c:v>67.5</c:v>
                </c:pt>
                <c:pt idx="1">
                  <c:v>60</c:v>
                </c:pt>
                <c:pt idx="2">
                  <c:v>50</c:v>
                </c:pt>
                <c:pt idx="3">
                  <c:v>40</c:v>
                </c:pt>
                <c:pt idx="4">
                  <c:v>30</c:v>
                </c:pt>
                <c:pt idx="5">
                  <c:v>20</c:v>
                </c:pt>
                <c:pt idx="6">
                  <c:v>10</c:v>
                </c:pt>
                <c:pt idx="7">
                  <c:v>0</c:v>
                </c:pt>
              </c:numCache>
            </c:numRef>
          </c:xVal>
          <c:yVal>
            <c:numRef>
              <c:f>'Courbes de pompes'!$E$33:$E$40</c:f>
              <c:numCache>
                <c:formatCode>General</c:formatCode>
                <c:ptCount val="8"/>
                <c:pt idx="0">
                  <c:v>0</c:v>
                </c:pt>
                <c:pt idx="1">
                  <c:v>7</c:v>
                </c:pt>
                <c:pt idx="2">
                  <c:v>14.5</c:v>
                </c:pt>
                <c:pt idx="3">
                  <c:v>21</c:v>
                </c:pt>
                <c:pt idx="4">
                  <c:v>26.5</c:v>
                </c:pt>
                <c:pt idx="5">
                  <c:v>31</c:v>
                </c:pt>
                <c:pt idx="6">
                  <c:v>34.5</c:v>
                </c:pt>
                <c:pt idx="7">
                  <c:v>37</c:v>
                </c:pt>
              </c:numCache>
            </c:numRef>
          </c:yVal>
          <c:smooth val="1"/>
          <c:extLst>
            <c:ext xmlns:c16="http://schemas.microsoft.com/office/drawing/2014/chart" uri="{C3380CC4-5D6E-409C-BE32-E72D297353CC}">
              <c16:uniqueId val="{00000001-54C1-4BA3-99AE-5A7E7182454A}"/>
            </c:ext>
          </c:extLst>
        </c:ser>
        <c:ser>
          <c:idx val="10"/>
          <c:order val="2"/>
          <c:tx>
            <c:v>Liberty 290</c:v>
          </c:tx>
          <c:spPr>
            <a:ln w="19050" cap="rnd">
              <a:solidFill>
                <a:schemeClr val="accent5">
                  <a:lumMod val="60000"/>
                </a:schemeClr>
              </a:solidFill>
              <a:round/>
            </a:ln>
            <a:effectLst/>
          </c:spPr>
          <c:marker>
            <c:symbol val="none"/>
          </c:marker>
          <c:xVal>
            <c:numRef>
              <c:f>'Courbes de pompes'!$G$33:$G$42</c:f>
              <c:numCache>
                <c:formatCode>General</c:formatCode>
                <c:ptCount val="10"/>
                <c:pt idx="0">
                  <c:v>80</c:v>
                </c:pt>
                <c:pt idx="1">
                  <c:v>70</c:v>
                </c:pt>
                <c:pt idx="2">
                  <c:v>60</c:v>
                </c:pt>
                <c:pt idx="3">
                  <c:v>50</c:v>
                </c:pt>
                <c:pt idx="4">
                  <c:v>40</c:v>
                </c:pt>
                <c:pt idx="5">
                  <c:v>30</c:v>
                </c:pt>
                <c:pt idx="6">
                  <c:v>20</c:v>
                </c:pt>
                <c:pt idx="7">
                  <c:v>10</c:v>
                </c:pt>
                <c:pt idx="8">
                  <c:v>0</c:v>
                </c:pt>
                <c:pt idx="9">
                  <c:v>83</c:v>
                </c:pt>
              </c:numCache>
            </c:numRef>
          </c:xVal>
          <c:yVal>
            <c:numRef>
              <c:f>'Courbes de pompes'!$H$33:$H$42</c:f>
              <c:numCache>
                <c:formatCode>General</c:formatCode>
                <c:ptCount val="10"/>
                <c:pt idx="0">
                  <c:v>2.8</c:v>
                </c:pt>
                <c:pt idx="1">
                  <c:v>11.75</c:v>
                </c:pt>
                <c:pt idx="2">
                  <c:v>18.666</c:v>
                </c:pt>
                <c:pt idx="3">
                  <c:v>25.33</c:v>
                </c:pt>
                <c:pt idx="4">
                  <c:v>31.5</c:v>
                </c:pt>
                <c:pt idx="5">
                  <c:v>37</c:v>
                </c:pt>
                <c:pt idx="6">
                  <c:v>41.8</c:v>
                </c:pt>
                <c:pt idx="7">
                  <c:v>45.6</c:v>
                </c:pt>
                <c:pt idx="8">
                  <c:v>48</c:v>
                </c:pt>
                <c:pt idx="9">
                  <c:v>0</c:v>
                </c:pt>
              </c:numCache>
            </c:numRef>
          </c:yVal>
          <c:smooth val="1"/>
          <c:extLst>
            <c:ext xmlns:c16="http://schemas.microsoft.com/office/drawing/2014/chart" uri="{C3380CC4-5D6E-409C-BE32-E72D297353CC}">
              <c16:uniqueId val="{00000001-4AF0-4363-95ED-78066919C5F6}"/>
            </c:ext>
          </c:extLst>
        </c:ser>
        <c:ser>
          <c:idx val="2"/>
          <c:order val="3"/>
          <c:tx>
            <c:v>Liberty FL50</c:v>
          </c:tx>
          <c:spPr>
            <a:ln w="19050" cap="rnd">
              <a:solidFill>
                <a:schemeClr val="accent3"/>
              </a:solidFill>
              <a:round/>
            </a:ln>
            <a:effectLst/>
          </c:spPr>
          <c:marker>
            <c:symbol val="none"/>
          </c:marker>
          <c:xVal>
            <c:numRef>
              <c:f>'Courbes de pompes'!$J$33:$J$42</c:f>
              <c:numCache>
                <c:formatCode>General</c:formatCode>
                <c:ptCount val="10"/>
                <c:pt idx="0">
                  <c:v>90</c:v>
                </c:pt>
                <c:pt idx="1">
                  <c:v>80</c:v>
                </c:pt>
                <c:pt idx="2">
                  <c:v>70</c:v>
                </c:pt>
                <c:pt idx="3">
                  <c:v>60</c:v>
                </c:pt>
                <c:pt idx="4">
                  <c:v>50</c:v>
                </c:pt>
                <c:pt idx="5">
                  <c:v>40</c:v>
                </c:pt>
                <c:pt idx="6">
                  <c:v>30</c:v>
                </c:pt>
                <c:pt idx="7">
                  <c:v>20</c:v>
                </c:pt>
                <c:pt idx="8">
                  <c:v>10</c:v>
                </c:pt>
                <c:pt idx="9">
                  <c:v>0</c:v>
                </c:pt>
              </c:numCache>
            </c:numRef>
          </c:xVal>
          <c:yVal>
            <c:numRef>
              <c:f>'Courbes de pompes'!$K$33:$K$42</c:f>
              <c:numCache>
                <c:formatCode>General</c:formatCode>
                <c:ptCount val="10"/>
                <c:pt idx="0">
                  <c:v>3</c:v>
                </c:pt>
                <c:pt idx="1">
                  <c:v>12.5</c:v>
                </c:pt>
                <c:pt idx="2">
                  <c:v>20.75</c:v>
                </c:pt>
                <c:pt idx="3">
                  <c:v>27.75</c:v>
                </c:pt>
                <c:pt idx="4">
                  <c:v>33.665999999999997</c:v>
                </c:pt>
                <c:pt idx="5">
                  <c:v>38.75</c:v>
                </c:pt>
                <c:pt idx="6">
                  <c:v>43.25</c:v>
                </c:pt>
                <c:pt idx="7">
                  <c:v>47.332999999999998</c:v>
                </c:pt>
                <c:pt idx="8">
                  <c:v>51.2</c:v>
                </c:pt>
                <c:pt idx="9">
                  <c:v>55</c:v>
                </c:pt>
              </c:numCache>
            </c:numRef>
          </c:yVal>
          <c:smooth val="1"/>
          <c:extLst>
            <c:ext xmlns:c16="http://schemas.microsoft.com/office/drawing/2014/chart" uri="{C3380CC4-5D6E-409C-BE32-E72D297353CC}">
              <c16:uniqueId val="{00000002-54C1-4BA3-99AE-5A7E7182454A}"/>
            </c:ext>
          </c:extLst>
        </c:ser>
        <c:ser>
          <c:idx val="3"/>
          <c:order val="4"/>
          <c:tx>
            <c:v>Liberty FL60</c:v>
          </c:tx>
          <c:spPr>
            <a:ln w="19050" cap="rnd">
              <a:solidFill>
                <a:schemeClr val="accent4"/>
              </a:solidFill>
              <a:round/>
            </a:ln>
            <a:effectLst/>
          </c:spPr>
          <c:marker>
            <c:symbol val="none"/>
          </c:marker>
          <c:xVal>
            <c:numRef>
              <c:f>'Courbes de pompes'!$M$33:$M$44</c:f>
              <c:numCache>
                <c:formatCode>General</c:formatCode>
                <c:ptCount val="12"/>
                <c:pt idx="0">
                  <c:v>0</c:v>
                </c:pt>
                <c:pt idx="1">
                  <c:v>20</c:v>
                </c:pt>
                <c:pt idx="2">
                  <c:v>25</c:v>
                </c:pt>
                <c:pt idx="3">
                  <c:v>35</c:v>
                </c:pt>
                <c:pt idx="4">
                  <c:v>40</c:v>
                </c:pt>
                <c:pt idx="5">
                  <c:v>45</c:v>
                </c:pt>
                <c:pt idx="6">
                  <c:v>55</c:v>
                </c:pt>
                <c:pt idx="7">
                  <c:v>70</c:v>
                </c:pt>
                <c:pt idx="8">
                  <c:v>75</c:v>
                </c:pt>
                <c:pt idx="9">
                  <c:v>80</c:v>
                </c:pt>
                <c:pt idx="10">
                  <c:v>90</c:v>
                </c:pt>
                <c:pt idx="11">
                  <c:v>95</c:v>
                </c:pt>
              </c:numCache>
            </c:numRef>
          </c:xVal>
          <c:yVal>
            <c:numRef>
              <c:f>'Courbes de pompes'!$N$33:$N$44</c:f>
              <c:numCache>
                <c:formatCode>General</c:formatCode>
                <c:ptCount val="12"/>
                <c:pt idx="0">
                  <c:v>65</c:v>
                </c:pt>
                <c:pt idx="1">
                  <c:v>60</c:v>
                </c:pt>
                <c:pt idx="2">
                  <c:v>57</c:v>
                </c:pt>
                <c:pt idx="3">
                  <c:v>53</c:v>
                </c:pt>
                <c:pt idx="4">
                  <c:v>51</c:v>
                </c:pt>
                <c:pt idx="5">
                  <c:v>47</c:v>
                </c:pt>
                <c:pt idx="6">
                  <c:v>42</c:v>
                </c:pt>
                <c:pt idx="7">
                  <c:v>30</c:v>
                </c:pt>
                <c:pt idx="8">
                  <c:v>25</c:v>
                </c:pt>
                <c:pt idx="9">
                  <c:v>20</c:v>
                </c:pt>
                <c:pt idx="10">
                  <c:v>10</c:v>
                </c:pt>
                <c:pt idx="11">
                  <c:v>5</c:v>
                </c:pt>
              </c:numCache>
            </c:numRef>
          </c:yVal>
          <c:smooth val="1"/>
          <c:extLst>
            <c:ext xmlns:c16="http://schemas.microsoft.com/office/drawing/2014/chart" uri="{C3380CC4-5D6E-409C-BE32-E72D297353CC}">
              <c16:uniqueId val="{00000003-54C1-4BA3-99AE-5A7E7182454A}"/>
            </c:ext>
          </c:extLst>
        </c:ser>
        <c:ser>
          <c:idx val="4"/>
          <c:order val="5"/>
          <c:tx>
            <c:v>Liberty FL70</c:v>
          </c:tx>
          <c:spPr>
            <a:ln w="19050" cap="rnd">
              <a:solidFill>
                <a:schemeClr val="accent5"/>
              </a:solidFill>
              <a:round/>
            </a:ln>
            <a:effectLst/>
          </c:spPr>
          <c:marker>
            <c:symbol val="none"/>
          </c:marker>
          <c:xVal>
            <c:numRef>
              <c:f>'Courbes de pompes'!$P$33:$P$43</c:f>
              <c:numCache>
                <c:formatCode>General</c:formatCode>
                <c:ptCount val="11"/>
                <c:pt idx="0">
                  <c:v>0</c:v>
                </c:pt>
                <c:pt idx="1">
                  <c:v>10</c:v>
                </c:pt>
                <c:pt idx="2">
                  <c:v>15</c:v>
                </c:pt>
                <c:pt idx="3">
                  <c:v>25</c:v>
                </c:pt>
                <c:pt idx="4">
                  <c:v>30</c:v>
                </c:pt>
                <c:pt idx="5">
                  <c:v>40</c:v>
                </c:pt>
                <c:pt idx="6">
                  <c:v>55</c:v>
                </c:pt>
                <c:pt idx="7">
                  <c:v>65</c:v>
                </c:pt>
                <c:pt idx="8">
                  <c:v>75</c:v>
                </c:pt>
                <c:pt idx="9">
                  <c:v>85</c:v>
                </c:pt>
                <c:pt idx="10">
                  <c:v>95</c:v>
                </c:pt>
              </c:numCache>
            </c:numRef>
          </c:xVal>
          <c:yVal>
            <c:numRef>
              <c:f>'Courbes de pompes'!$Q$33:$Q$43</c:f>
              <c:numCache>
                <c:formatCode>General</c:formatCode>
                <c:ptCount val="11"/>
                <c:pt idx="0">
                  <c:v>77</c:v>
                </c:pt>
                <c:pt idx="1">
                  <c:v>72</c:v>
                </c:pt>
                <c:pt idx="2">
                  <c:v>69</c:v>
                </c:pt>
                <c:pt idx="3">
                  <c:v>64</c:v>
                </c:pt>
                <c:pt idx="4">
                  <c:v>61</c:v>
                </c:pt>
                <c:pt idx="5">
                  <c:v>55</c:v>
                </c:pt>
                <c:pt idx="6">
                  <c:v>45</c:v>
                </c:pt>
                <c:pt idx="7">
                  <c:v>37</c:v>
                </c:pt>
                <c:pt idx="8">
                  <c:v>27</c:v>
                </c:pt>
                <c:pt idx="9">
                  <c:v>17</c:v>
                </c:pt>
                <c:pt idx="10">
                  <c:v>7</c:v>
                </c:pt>
              </c:numCache>
            </c:numRef>
          </c:yVal>
          <c:smooth val="1"/>
          <c:extLst>
            <c:ext xmlns:c16="http://schemas.microsoft.com/office/drawing/2014/chart" uri="{C3380CC4-5D6E-409C-BE32-E72D297353CC}">
              <c16:uniqueId val="{00000004-54C1-4BA3-99AE-5A7E7182454A}"/>
            </c:ext>
          </c:extLst>
        </c:ser>
        <c:ser>
          <c:idx val="5"/>
          <c:order val="6"/>
          <c:tx>
            <c:v>Liberty FL100</c:v>
          </c:tx>
          <c:spPr>
            <a:ln w="19050" cap="rnd">
              <a:solidFill>
                <a:schemeClr val="accent6"/>
              </a:solidFill>
              <a:round/>
            </a:ln>
            <a:effectLst/>
          </c:spPr>
          <c:marker>
            <c:symbol val="none"/>
          </c:marker>
          <c:xVal>
            <c:numRef>
              <c:f>'Courbes de pompes'!$S$33:$S$44</c:f>
              <c:numCache>
                <c:formatCode>General</c:formatCode>
                <c:ptCount val="12"/>
                <c:pt idx="0">
                  <c:v>0</c:v>
                </c:pt>
                <c:pt idx="1">
                  <c:v>12</c:v>
                </c:pt>
                <c:pt idx="2">
                  <c:v>24</c:v>
                </c:pt>
                <c:pt idx="3">
                  <c:v>30</c:v>
                </c:pt>
                <c:pt idx="4">
                  <c:v>37</c:v>
                </c:pt>
                <c:pt idx="5">
                  <c:v>55</c:v>
                </c:pt>
                <c:pt idx="6">
                  <c:v>75</c:v>
                </c:pt>
                <c:pt idx="7">
                  <c:v>85</c:v>
                </c:pt>
                <c:pt idx="8">
                  <c:v>90</c:v>
                </c:pt>
                <c:pt idx="9">
                  <c:v>95</c:v>
                </c:pt>
                <c:pt idx="10">
                  <c:v>100</c:v>
                </c:pt>
                <c:pt idx="11">
                  <c:v>107</c:v>
                </c:pt>
              </c:numCache>
            </c:numRef>
          </c:xVal>
          <c:yVal>
            <c:numRef>
              <c:f>'Courbes de pompes'!$T$33:$T$44</c:f>
              <c:numCache>
                <c:formatCode>General</c:formatCode>
                <c:ptCount val="12"/>
                <c:pt idx="0">
                  <c:v>90</c:v>
                </c:pt>
                <c:pt idx="1">
                  <c:v>85</c:v>
                </c:pt>
                <c:pt idx="2">
                  <c:v>80</c:v>
                </c:pt>
                <c:pt idx="3">
                  <c:v>77</c:v>
                </c:pt>
                <c:pt idx="4">
                  <c:v>75</c:v>
                </c:pt>
                <c:pt idx="5">
                  <c:v>65</c:v>
                </c:pt>
                <c:pt idx="6">
                  <c:v>50</c:v>
                </c:pt>
                <c:pt idx="7">
                  <c:v>37</c:v>
                </c:pt>
                <c:pt idx="8">
                  <c:v>30</c:v>
                </c:pt>
                <c:pt idx="9">
                  <c:v>22</c:v>
                </c:pt>
                <c:pt idx="10">
                  <c:v>8</c:v>
                </c:pt>
                <c:pt idx="11">
                  <c:v>0</c:v>
                </c:pt>
              </c:numCache>
            </c:numRef>
          </c:yVal>
          <c:smooth val="1"/>
          <c:extLst>
            <c:ext xmlns:c16="http://schemas.microsoft.com/office/drawing/2014/chart" uri="{C3380CC4-5D6E-409C-BE32-E72D297353CC}">
              <c16:uniqueId val="{00000005-54C1-4BA3-99AE-5A7E7182454A}"/>
            </c:ext>
          </c:extLst>
        </c:ser>
        <c:ser>
          <c:idx val="6"/>
          <c:order val="7"/>
          <c:tx>
            <c:v>Liberty FL150</c:v>
          </c:tx>
          <c:spPr>
            <a:ln w="19050" cap="rnd">
              <a:solidFill>
                <a:schemeClr val="accent1">
                  <a:lumMod val="60000"/>
                </a:schemeClr>
              </a:solidFill>
              <a:round/>
            </a:ln>
            <a:effectLst/>
          </c:spPr>
          <c:marker>
            <c:symbol val="none"/>
          </c:marker>
          <c:xVal>
            <c:numRef>
              <c:f>'Courbes de pompes'!$V$33:$V$44</c:f>
              <c:numCache>
                <c:formatCode>General</c:formatCode>
                <c:ptCount val="12"/>
                <c:pt idx="0">
                  <c:v>0</c:v>
                </c:pt>
                <c:pt idx="1">
                  <c:v>20</c:v>
                </c:pt>
                <c:pt idx="2">
                  <c:v>30</c:v>
                </c:pt>
                <c:pt idx="3">
                  <c:v>40</c:v>
                </c:pt>
                <c:pt idx="4">
                  <c:v>50</c:v>
                </c:pt>
                <c:pt idx="5">
                  <c:v>56</c:v>
                </c:pt>
                <c:pt idx="6">
                  <c:v>70</c:v>
                </c:pt>
                <c:pt idx="7">
                  <c:v>80</c:v>
                </c:pt>
                <c:pt idx="8">
                  <c:v>90</c:v>
                </c:pt>
                <c:pt idx="9">
                  <c:v>110</c:v>
                </c:pt>
                <c:pt idx="10">
                  <c:v>125</c:v>
                </c:pt>
                <c:pt idx="11">
                  <c:v>130</c:v>
                </c:pt>
              </c:numCache>
            </c:numRef>
          </c:xVal>
          <c:yVal>
            <c:numRef>
              <c:f>'Courbes de pompes'!$W$33:$W$44</c:f>
              <c:numCache>
                <c:formatCode>General</c:formatCode>
                <c:ptCount val="12"/>
                <c:pt idx="0">
                  <c:v>110</c:v>
                </c:pt>
                <c:pt idx="1">
                  <c:v>97</c:v>
                </c:pt>
                <c:pt idx="2">
                  <c:v>90</c:v>
                </c:pt>
                <c:pt idx="3">
                  <c:v>82</c:v>
                </c:pt>
                <c:pt idx="4">
                  <c:v>75</c:v>
                </c:pt>
                <c:pt idx="5">
                  <c:v>70</c:v>
                </c:pt>
                <c:pt idx="6">
                  <c:v>60</c:v>
                </c:pt>
                <c:pt idx="7">
                  <c:v>53</c:v>
                </c:pt>
                <c:pt idx="8">
                  <c:v>45</c:v>
                </c:pt>
                <c:pt idx="9">
                  <c:v>30</c:v>
                </c:pt>
                <c:pt idx="10">
                  <c:v>10</c:v>
                </c:pt>
                <c:pt idx="11">
                  <c:v>0</c:v>
                </c:pt>
              </c:numCache>
            </c:numRef>
          </c:yVal>
          <c:smooth val="1"/>
          <c:extLst>
            <c:ext xmlns:c16="http://schemas.microsoft.com/office/drawing/2014/chart" uri="{C3380CC4-5D6E-409C-BE32-E72D297353CC}">
              <c16:uniqueId val="{00000006-54C1-4BA3-99AE-5A7E7182454A}"/>
            </c:ext>
          </c:extLst>
        </c:ser>
        <c:ser>
          <c:idx val="7"/>
          <c:order val="8"/>
          <c:tx>
            <c:v>Liberty FL200</c:v>
          </c:tx>
          <c:spPr>
            <a:ln w="19050" cap="rnd">
              <a:solidFill>
                <a:schemeClr val="accent2">
                  <a:lumMod val="60000"/>
                </a:schemeClr>
              </a:solidFill>
              <a:round/>
            </a:ln>
            <a:effectLst/>
          </c:spPr>
          <c:marker>
            <c:symbol val="none"/>
          </c:marker>
          <c:xVal>
            <c:numRef>
              <c:f>'Courbes de pompes'!$Y$33:$Y$47</c:f>
              <c:numCache>
                <c:formatCode>General</c:formatCode>
                <c:ptCount val="15"/>
                <c:pt idx="0">
                  <c:v>0</c:v>
                </c:pt>
                <c:pt idx="1">
                  <c:v>10</c:v>
                </c:pt>
                <c:pt idx="2">
                  <c:v>25</c:v>
                </c:pt>
                <c:pt idx="3">
                  <c:v>40</c:v>
                </c:pt>
                <c:pt idx="4">
                  <c:v>45</c:v>
                </c:pt>
                <c:pt idx="5">
                  <c:v>55</c:v>
                </c:pt>
                <c:pt idx="6">
                  <c:v>65</c:v>
                </c:pt>
                <c:pt idx="7">
                  <c:v>75</c:v>
                </c:pt>
                <c:pt idx="8">
                  <c:v>80</c:v>
                </c:pt>
                <c:pt idx="9">
                  <c:v>90</c:v>
                </c:pt>
                <c:pt idx="10">
                  <c:v>100</c:v>
                </c:pt>
                <c:pt idx="11">
                  <c:v>102</c:v>
                </c:pt>
                <c:pt idx="12">
                  <c:v>102</c:v>
                </c:pt>
                <c:pt idx="13">
                  <c:v>102</c:v>
                </c:pt>
                <c:pt idx="14">
                  <c:v>102</c:v>
                </c:pt>
              </c:numCache>
            </c:numRef>
          </c:xVal>
          <c:yVal>
            <c:numRef>
              <c:f>'Courbes de pompes'!$Z$33:$Z$47</c:f>
              <c:numCache>
                <c:formatCode>General</c:formatCode>
                <c:ptCount val="15"/>
                <c:pt idx="0">
                  <c:v>132</c:v>
                </c:pt>
                <c:pt idx="1">
                  <c:v>126</c:v>
                </c:pt>
                <c:pt idx="2">
                  <c:v>115</c:v>
                </c:pt>
                <c:pt idx="3">
                  <c:v>106</c:v>
                </c:pt>
                <c:pt idx="4">
                  <c:v>100</c:v>
                </c:pt>
                <c:pt idx="5">
                  <c:v>92</c:v>
                </c:pt>
                <c:pt idx="6">
                  <c:v>84</c:v>
                </c:pt>
                <c:pt idx="7">
                  <c:v>72</c:v>
                </c:pt>
                <c:pt idx="8">
                  <c:v>65</c:v>
                </c:pt>
                <c:pt idx="9">
                  <c:v>54</c:v>
                </c:pt>
                <c:pt idx="10">
                  <c:v>38</c:v>
                </c:pt>
                <c:pt idx="11">
                  <c:v>30</c:v>
                </c:pt>
                <c:pt idx="12">
                  <c:v>20</c:v>
                </c:pt>
                <c:pt idx="13">
                  <c:v>10</c:v>
                </c:pt>
                <c:pt idx="14">
                  <c:v>0</c:v>
                </c:pt>
              </c:numCache>
            </c:numRef>
          </c:yVal>
          <c:smooth val="1"/>
          <c:extLst>
            <c:ext xmlns:c16="http://schemas.microsoft.com/office/drawing/2014/chart" uri="{C3380CC4-5D6E-409C-BE32-E72D297353CC}">
              <c16:uniqueId val="{00000007-54C1-4BA3-99AE-5A7E7182454A}"/>
            </c:ext>
          </c:extLst>
        </c:ser>
        <c:ser>
          <c:idx val="8"/>
          <c:order val="9"/>
          <c:tx>
            <c:v>Operation point</c:v>
          </c:tx>
          <c:spPr>
            <a:ln w="19050" cap="rnd">
              <a:noFill/>
              <a:round/>
            </a:ln>
            <a:effectLst/>
          </c:spPr>
          <c:marker>
            <c:symbol val="circle"/>
            <c:size val="7"/>
            <c:spPr>
              <a:solidFill>
                <a:srgbClr val="FF0000"/>
              </a:solidFill>
              <a:ln w="9525">
                <a:noFill/>
              </a:ln>
              <a:effectLst/>
            </c:spPr>
          </c:marker>
          <c:xVal>
            <c:numRef>
              <c:f>'Pump calculator'!$B$29</c:f>
              <c:numCache>
                <c:formatCode>0.0</c:formatCode>
                <c:ptCount val="1"/>
                <c:pt idx="0">
                  <c:v>0</c:v>
                </c:pt>
              </c:numCache>
            </c:numRef>
          </c:xVal>
          <c:yVal>
            <c:numRef>
              <c:f>'Pump calculator'!$B$28</c:f>
              <c:numCache>
                <c:formatCode>0.0</c:formatCode>
                <c:ptCount val="1"/>
                <c:pt idx="0">
                  <c:v>0</c:v>
                </c:pt>
              </c:numCache>
            </c:numRef>
          </c:yVal>
          <c:smooth val="1"/>
          <c:extLst>
            <c:ext xmlns:c16="http://schemas.microsoft.com/office/drawing/2014/chart" uri="{C3380CC4-5D6E-409C-BE32-E72D297353CC}">
              <c16:uniqueId val="{00000008-54C1-4BA3-99AE-5A7E7182454A}"/>
            </c:ext>
          </c:extLst>
        </c:ser>
        <c:ser>
          <c:idx val="9"/>
          <c:order val="10"/>
          <c:tx>
            <c:v>Dash line</c:v>
          </c:tx>
          <c:spPr>
            <a:ln w="19050" cap="rnd">
              <a:solidFill>
                <a:schemeClr val="tx1"/>
              </a:solidFill>
              <a:prstDash val="dash"/>
              <a:round/>
            </a:ln>
            <a:effectLst/>
          </c:spPr>
          <c:marker>
            <c:symbol val="none"/>
          </c:marker>
          <c:xVal>
            <c:numRef>
              <c:f>'Pump calculator'!$B$74:$B$75</c:f>
              <c:numCache>
                <c:formatCode>0.0</c:formatCode>
                <c:ptCount val="2"/>
                <c:pt idx="0" formatCode="General">
                  <c:v>0</c:v>
                </c:pt>
                <c:pt idx="1">
                  <c:v>140</c:v>
                </c:pt>
              </c:numCache>
            </c:numRef>
          </c:xVal>
          <c:yVal>
            <c:numRef>
              <c:f>'Pump calculator'!$C$74:$C$75</c:f>
              <c:numCache>
                <c:formatCode>0.0</c:formatCode>
                <c:ptCount val="2"/>
                <c:pt idx="0">
                  <c:v>0</c:v>
                </c:pt>
                <c:pt idx="1">
                  <c:v>0</c:v>
                </c:pt>
              </c:numCache>
            </c:numRef>
          </c:yVal>
          <c:smooth val="1"/>
          <c:extLst>
            <c:ext xmlns:c16="http://schemas.microsoft.com/office/drawing/2014/chart" uri="{C3380CC4-5D6E-409C-BE32-E72D297353CC}">
              <c16:uniqueId val="{00000009-54C1-4BA3-99AE-5A7E7182454A}"/>
            </c:ext>
          </c:extLst>
        </c:ser>
        <c:dLbls>
          <c:showLegendKey val="0"/>
          <c:showVal val="0"/>
          <c:showCatName val="0"/>
          <c:showSerName val="0"/>
          <c:showPercent val="0"/>
          <c:showBubbleSize val="0"/>
        </c:dLbls>
        <c:axId val="174493200"/>
        <c:axId val="174481680"/>
      </c:scatterChart>
      <c:valAx>
        <c:axId val="174493200"/>
        <c:scaling>
          <c:orientation val="minMax"/>
          <c:max val="14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A"/>
                  <a:t>Flow (gpm)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81680"/>
        <c:crosses val="autoZero"/>
        <c:crossBetween val="midCat"/>
        <c:majorUnit val="10"/>
      </c:valAx>
      <c:valAx>
        <c:axId val="174481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A"/>
                  <a:t>Head loss (ft)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9320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Zoeller pumps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Zoeller 151</c:v>
          </c:tx>
          <c:spPr>
            <a:ln w="19050" cap="rnd">
              <a:solidFill>
                <a:schemeClr val="accent1"/>
              </a:solidFill>
              <a:round/>
            </a:ln>
            <a:effectLst/>
          </c:spPr>
          <c:marker>
            <c:symbol val="none"/>
          </c:marker>
          <c:xVal>
            <c:numRef>
              <c:f>'Courbes de pompes'!$A$5:$A$10</c:f>
              <c:numCache>
                <c:formatCode>General</c:formatCode>
                <c:ptCount val="6"/>
                <c:pt idx="0">
                  <c:v>50</c:v>
                </c:pt>
                <c:pt idx="1">
                  <c:v>45</c:v>
                </c:pt>
                <c:pt idx="2">
                  <c:v>38</c:v>
                </c:pt>
                <c:pt idx="3">
                  <c:v>29</c:v>
                </c:pt>
                <c:pt idx="4">
                  <c:v>16</c:v>
                </c:pt>
                <c:pt idx="5">
                  <c:v>0</c:v>
                </c:pt>
              </c:numCache>
            </c:numRef>
          </c:xVal>
          <c:yVal>
            <c:numRef>
              <c:f>'Courbes de pompes'!$B$5:$B$10</c:f>
              <c:numCache>
                <c:formatCode>General</c:formatCode>
                <c:ptCount val="6"/>
                <c:pt idx="0">
                  <c:v>5</c:v>
                </c:pt>
                <c:pt idx="1">
                  <c:v>10</c:v>
                </c:pt>
                <c:pt idx="2">
                  <c:v>15</c:v>
                </c:pt>
                <c:pt idx="3">
                  <c:v>20</c:v>
                </c:pt>
                <c:pt idx="4">
                  <c:v>25</c:v>
                </c:pt>
                <c:pt idx="5">
                  <c:v>30</c:v>
                </c:pt>
              </c:numCache>
            </c:numRef>
          </c:yVal>
          <c:smooth val="1"/>
          <c:extLst>
            <c:ext xmlns:c16="http://schemas.microsoft.com/office/drawing/2014/chart" uri="{C3380CC4-5D6E-409C-BE32-E72D297353CC}">
              <c16:uniqueId val="{00000000-4C4C-423A-9553-E41EED64F714}"/>
            </c:ext>
          </c:extLst>
        </c:ser>
        <c:ser>
          <c:idx val="1"/>
          <c:order val="1"/>
          <c:tx>
            <c:v>Zoeller 152</c:v>
          </c:tx>
          <c:spPr>
            <a:ln w="19050" cap="rnd">
              <a:solidFill>
                <a:schemeClr val="accent2"/>
              </a:solidFill>
              <a:round/>
            </a:ln>
            <a:effectLst/>
          </c:spPr>
          <c:marker>
            <c:symbol val="none"/>
          </c:marker>
          <c:xVal>
            <c:numRef>
              <c:f>'Courbes de pompes'!$D$5:$D$11</c:f>
              <c:numCache>
                <c:formatCode>General</c:formatCode>
                <c:ptCount val="7"/>
                <c:pt idx="0">
                  <c:v>69</c:v>
                </c:pt>
                <c:pt idx="1">
                  <c:v>61</c:v>
                </c:pt>
                <c:pt idx="2">
                  <c:v>53</c:v>
                </c:pt>
                <c:pt idx="3">
                  <c:v>44</c:v>
                </c:pt>
                <c:pt idx="4">
                  <c:v>34</c:v>
                </c:pt>
                <c:pt idx="5">
                  <c:v>23</c:v>
                </c:pt>
                <c:pt idx="6">
                  <c:v>0</c:v>
                </c:pt>
              </c:numCache>
            </c:numRef>
          </c:xVal>
          <c:yVal>
            <c:numRef>
              <c:f>'Courbes de pompes'!$E$5:$E$11</c:f>
              <c:numCache>
                <c:formatCode>General</c:formatCode>
                <c:ptCount val="7"/>
                <c:pt idx="0">
                  <c:v>5</c:v>
                </c:pt>
                <c:pt idx="1">
                  <c:v>10</c:v>
                </c:pt>
                <c:pt idx="2">
                  <c:v>15</c:v>
                </c:pt>
                <c:pt idx="3">
                  <c:v>20</c:v>
                </c:pt>
                <c:pt idx="4">
                  <c:v>25</c:v>
                </c:pt>
                <c:pt idx="5">
                  <c:v>30</c:v>
                </c:pt>
                <c:pt idx="6">
                  <c:v>37</c:v>
                </c:pt>
              </c:numCache>
            </c:numRef>
          </c:yVal>
          <c:smooth val="1"/>
          <c:extLst>
            <c:ext xmlns:c16="http://schemas.microsoft.com/office/drawing/2014/chart" uri="{C3380CC4-5D6E-409C-BE32-E72D297353CC}">
              <c16:uniqueId val="{00000001-4C4C-423A-9553-E41EED64F714}"/>
            </c:ext>
          </c:extLst>
        </c:ser>
        <c:ser>
          <c:idx val="2"/>
          <c:order val="2"/>
          <c:tx>
            <c:v>Zoeller 153</c:v>
          </c:tx>
          <c:spPr>
            <a:ln w="19050" cap="rnd">
              <a:solidFill>
                <a:schemeClr val="accent3"/>
              </a:solidFill>
              <a:round/>
            </a:ln>
            <a:effectLst/>
          </c:spPr>
          <c:marker>
            <c:symbol val="none"/>
          </c:marker>
          <c:xVal>
            <c:numRef>
              <c:f>'Courbes de pompes'!$G$5:$G$13</c:f>
              <c:numCache>
                <c:formatCode>General</c:formatCode>
                <c:ptCount val="9"/>
                <c:pt idx="0">
                  <c:v>77</c:v>
                </c:pt>
                <c:pt idx="1">
                  <c:v>70</c:v>
                </c:pt>
                <c:pt idx="2">
                  <c:v>61</c:v>
                </c:pt>
                <c:pt idx="3">
                  <c:v>52</c:v>
                </c:pt>
                <c:pt idx="4">
                  <c:v>42</c:v>
                </c:pt>
                <c:pt idx="5">
                  <c:v>33</c:v>
                </c:pt>
                <c:pt idx="6">
                  <c:v>22</c:v>
                </c:pt>
                <c:pt idx="7">
                  <c:v>11</c:v>
                </c:pt>
                <c:pt idx="8">
                  <c:v>0</c:v>
                </c:pt>
              </c:numCache>
            </c:numRef>
          </c:xVal>
          <c:yVal>
            <c:numRef>
              <c:f>'Courbes de pompes'!$H$5:$H$13</c:f>
              <c:numCache>
                <c:formatCode>General</c:formatCode>
                <c:ptCount val="9"/>
                <c:pt idx="0">
                  <c:v>5</c:v>
                </c:pt>
                <c:pt idx="1">
                  <c:v>10</c:v>
                </c:pt>
                <c:pt idx="2">
                  <c:v>15</c:v>
                </c:pt>
                <c:pt idx="3">
                  <c:v>20</c:v>
                </c:pt>
                <c:pt idx="4">
                  <c:v>25</c:v>
                </c:pt>
                <c:pt idx="5">
                  <c:v>30</c:v>
                </c:pt>
                <c:pt idx="6">
                  <c:v>35</c:v>
                </c:pt>
                <c:pt idx="7">
                  <c:v>40</c:v>
                </c:pt>
                <c:pt idx="8">
                  <c:v>44</c:v>
                </c:pt>
              </c:numCache>
            </c:numRef>
          </c:yVal>
          <c:smooth val="1"/>
          <c:extLst>
            <c:ext xmlns:c16="http://schemas.microsoft.com/office/drawing/2014/chart" uri="{C3380CC4-5D6E-409C-BE32-E72D297353CC}">
              <c16:uniqueId val="{00000002-4C4C-423A-9553-E41EED64F714}"/>
            </c:ext>
          </c:extLst>
        </c:ser>
        <c:ser>
          <c:idx val="3"/>
          <c:order val="3"/>
          <c:tx>
            <c:v>Zoeller 185</c:v>
          </c:tx>
          <c:spPr>
            <a:ln w="19050" cap="rnd">
              <a:solidFill>
                <a:schemeClr val="accent4"/>
              </a:solidFill>
              <a:round/>
            </a:ln>
            <a:effectLst/>
          </c:spPr>
          <c:marker>
            <c:symbol val="none"/>
          </c:marker>
          <c:xVal>
            <c:numRef>
              <c:f>'Courbes de pompes'!$J$5:$J$10</c:f>
              <c:numCache>
                <c:formatCode>General</c:formatCode>
                <c:ptCount val="6"/>
                <c:pt idx="0">
                  <c:v>85</c:v>
                </c:pt>
                <c:pt idx="1">
                  <c:v>70</c:v>
                </c:pt>
                <c:pt idx="2">
                  <c:v>51</c:v>
                </c:pt>
                <c:pt idx="3">
                  <c:v>32</c:v>
                </c:pt>
                <c:pt idx="4">
                  <c:v>9</c:v>
                </c:pt>
                <c:pt idx="5">
                  <c:v>0</c:v>
                </c:pt>
              </c:numCache>
            </c:numRef>
          </c:xVal>
          <c:yVal>
            <c:numRef>
              <c:f>'Courbes de pompes'!$K$5:$K$10</c:f>
              <c:numCache>
                <c:formatCode>General</c:formatCode>
                <c:ptCount val="6"/>
                <c:pt idx="0">
                  <c:v>30</c:v>
                </c:pt>
                <c:pt idx="1">
                  <c:v>40</c:v>
                </c:pt>
                <c:pt idx="2">
                  <c:v>50</c:v>
                </c:pt>
                <c:pt idx="3">
                  <c:v>60</c:v>
                </c:pt>
                <c:pt idx="4">
                  <c:v>70</c:v>
                </c:pt>
                <c:pt idx="5">
                  <c:v>73</c:v>
                </c:pt>
              </c:numCache>
            </c:numRef>
          </c:yVal>
          <c:smooth val="1"/>
          <c:extLst>
            <c:ext xmlns:c16="http://schemas.microsoft.com/office/drawing/2014/chart" uri="{C3380CC4-5D6E-409C-BE32-E72D297353CC}">
              <c16:uniqueId val="{00000003-4C4C-423A-9553-E41EED64F714}"/>
            </c:ext>
          </c:extLst>
        </c:ser>
        <c:ser>
          <c:idx val="4"/>
          <c:order val="4"/>
          <c:tx>
            <c:v>Zoeller 186</c:v>
          </c:tx>
          <c:spPr>
            <a:ln w="19050" cap="rnd">
              <a:solidFill>
                <a:schemeClr val="accent5"/>
              </a:solidFill>
              <a:round/>
            </a:ln>
            <a:effectLst/>
          </c:spPr>
          <c:marker>
            <c:symbol val="none"/>
          </c:marker>
          <c:xVal>
            <c:numRef>
              <c:f>'Courbes de pompes'!$M$5:$M$17</c:f>
              <c:numCache>
                <c:formatCode>General</c:formatCode>
                <c:ptCount val="13"/>
                <c:pt idx="0">
                  <c:v>58</c:v>
                </c:pt>
                <c:pt idx="1">
                  <c:v>58</c:v>
                </c:pt>
                <c:pt idx="2">
                  <c:v>58</c:v>
                </c:pt>
                <c:pt idx="3">
                  <c:v>58</c:v>
                </c:pt>
                <c:pt idx="4">
                  <c:v>58</c:v>
                </c:pt>
                <c:pt idx="5">
                  <c:v>58</c:v>
                </c:pt>
                <c:pt idx="6">
                  <c:v>58</c:v>
                </c:pt>
                <c:pt idx="7">
                  <c:v>52</c:v>
                </c:pt>
                <c:pt idx="8">
                  <c:v>45</c:v>
                </c:pt>
                <c:pt idx="9">
                  <c:v>30.5</c:v>
                </c:pt>
                <c:pt idx="10">
                  <c:v>16</c:v>
                </c:pt>
                <c:pt idx="11">
                  <c:v>4</c:v>
                </c:pt>
                <c:pt idx="12">
                  <c:v>0</c:v>
                </c:pt>
              </c:numCache>
            </c:numRef>
          </c:xVal>
          <c:yVal>
            <c:numRef>
              <c:f>'Courbes de pompes'!$N$5:$N$17</c:f>
              <c:numCache>
                <c:formatCode>General</c:formatCode>
                <c:ptCount val="13"/>
                <c:pt idx="0">
                  <c:v>5</c:v>
                </c:pt>
                <c:pt idx="1">
                  <c:v>10</c:v>
                </c:pt>
                <c:pt idx="2">
                  <c:v>20</c:v>
                </c:pt>
                <c:pt idx="3">
                  <c:v>30</c:v>
                </c:pt>
                <c:pt idx="4">
                  <c:v>40</c:v>
                </c:pt>
                <c:pt idx="5">
                  <c:v>50</c:v>
                </c:pt>
                <c:pt idx="6">
                  <c:v>60</c:v>
                </c:pt>
                <c:pt idx="7">
                  <c:v>70</c:v>
                </c:pt>
                <c:pt idx="8">
                  <c:v>80</c:v>
                </c:pt>
                <c:pt idx="9">
                  <c:v>90</c:v>
                </c:pt>
                <c:pt idx="10">
                  <c:v>100</c:v>
                </c:pt>
                <c:pt idx="11">
                  <c:v>110</c:v>
                </c:pt>
                <c:pt idx="12">
                  <c:v>112</c:v>
                </c:pt>
              </c:numCache>
            </c:numRef>
          </c:yVal>
          <c:smooth val="1"/>
          <c:extLst>
            <c:ext xmlns:c16="http://schemas.microsoft.com/office/drawing/2014/chart" uri="{C3380CC4-5D6E-409C-BE32-E72D297353CC}">
              <c16:uniqueId val="{00000004-4C4C-423A-9553-E41EED64F714}"/>
            </c:ext>
          </c:extLst>
        </c:ser>
        <c:ser>
          <c:idx val="5"/>
          <c:order val="5"/>
          <c:tx>
            <c:v>Zoeller 188</c:v>
          </c:tx>
          <c:spPr>
            <a:ln w="19050" cap="rnd">
              <a:solidFill>
                <a:schemeClr val="accent6"/>
              </a:solidFill>
              <a:round/>
            </a:ln>
            <a:effectLst/>
          </c:spPr>
          <c:marker>
            <c:symbol val="none"/>
          </c:marker>
          <c:xVal>
            <c:numRef>
              <c:f>'Courbes de pompes'!$P$5:$P$15</c:f>
              <c:numCache>
                <c:formatCode>General</c:formatCode>
                <c:ptCount val="11"/>
                <c:pt idx="0">
                  <c:v>145</c:v>
                </c:pt>
                <c:pt idx="1">
                  <c:v>140</c:v>
                </c:pt>
                <c:pt idx="2">
                  <c:v>128</c:v>
                </c:pt>
                <c:pt idx="3">
                  <c:v>116</c:v>
                </c:pt>
                <c:pt idx="4">
                  <c:v>103.5</c:v>
                </c:pt>
                <c:pt idx="5">
                  <c:v>90</c:v>
                </c:pt>
                <c:pt idx="6">
                  <c:v>71</c:v>
                </c:pt>
                <c:pt idx="7">
                  <c:v>51</c:v>
                </c:pt>
                <c:pt idx="8">
                  <c:v>28</c:v>
                </c:pt>
                <c:pt idx="9">
                  <c:v>2</c:v>
                </c:pt>
                <c:pt idx="10">
                  <c:v>0</c:v>
                </c:pt>
              </c:numCache>
            </c:numRef>
          </c:xVal>
          <c:yVal>
            <c:numRef>
              <c:f>'Courbes de pompes'!$Q$5:$Q$15</c:f>
              <c:numCache>
                <c:formatCode>General</c:formatCode>
                <c:ptCount val="11"/>
                <c:pt idx="0">
                  <c:v>5</c:v>
                </c:pt>
                <c:pt idx="1">
                  <c:v>10</c:v>
                </c:pt>
                <c:pt idx="2">
                  <c:v>20</c:v>
                </c:pt>
                <c:pt idx="3">
                  <c:v>30</c:v>
                </c:pt>
                <c:pt idx="4">
                  <c:v>40</c:v>
                </c:pt>
                <c:pt idx="5">
                  <c:v>50</c:v>
                </c:pt>
                <c:pt idx="6">
                  <c:v>60</c:v>
                </c:pt>
                <c:pt idx="7">
                  <c:v>70</c:v>
                </c:pt>
                <c:pt idx="8">
                  <c:v>80</c:v>
                </c:pt>
                <c:pt idx="9">
                  <c:v>90</c:v>
                </c:pt>
                <c:pt idx="10">
                  <c:v>91</c:v>
                </c:pt>
              </c:numCache>
            </c:numRef>
          </c:yVal>
          <c:smooth val="1"/>
          <c:extLst>
            <c:ext xmlns:c16="http://schemas.microsoft.com/office/drawing/2014/chart" uri="{C3380CC4-5D6E-409C-BE32-E72D297353CC}">
              <c16:uniqueId val="{00000005-4C4C-423A-9553-E41EED64F714}"/>
            </c:ext>
          </c:extLst>
        </c:ser>
        <c:ser>
          <c:idx val="6"/>
          <c:order val="6"/>
          <c:tx>
            <c:v>Zoeller 189</c:v>
          </c:tx>
          <c:spPr>
            <a:ln w="19050" cap="rnd">
              <a:solidFill>
                <a:schemeClr val="accent1">
                  <a:lumMod val="60000"/>
                </a:schemeClr>
              </a:solidFill>
              <a:round/>
            </a:ln>
            <a:effectLst/>
          </c:spPr>
          <c:marker>
            <c:symbol val="none"/>
          </c:marker>
          <c:xVal>
            <c:numRef>
              <c:f>'Courbes de pompes'!$S$5:$S$16</c:f>
              <c:numCache>
                <c:formatCode>General</c:formatCode>
                <c:ptCount val="12"/>
                <c:pt idx="0">
                  <c:v>145</c:v>
                </c:pt>
                <c:pt idx="1">
                  <c:v>140</c:v>
                </c:pt>
                <c:pt idx="2">
                  <c:v>130.5</c:v>
                </c:pt>
                <c:pt idx="3">
                  <c:v>120</c:v>
                </c:pt>
                <c:pt idx="4">
                  <c:v>109</c:v>
                </c:pt>
                <c:pt idx="5">
                  <c:v>97</c:v>
                </c:pt>
                <c:pt idx="6">
                  <c:v>85</c:v>
                </c:pt>
                <c:pt idx="7">
                  <c:v>69</c:v>
                </c:pt>
                <c:pt idx="8">
                  <c:v>51</c:v>
                </c:pt>
                <c:pt idx="9">
                  <c:v>34</c:v>
                </c:pt>
                <c:pt idx="10">
                  <c:v>17</c:v>
                </c:pt>
                <c:pt idx="11">
                  <c:v>0</c:v>
                </c:pt>
              </c:numCache>
            </c:numRef>
          </c:xVal>
          <c:yVal>
            <c:numRef>
              <c:f>'Courbes de pompes'!$T$5:$T$16</c:f>
              <c:numCache>
                <c:formatCode>General</c:formatCode>
                <c:ptCount val="12"/>
                <c:pt idx="0">
                  <c:v>5</c:v>
                </c:pt>
                <c:pt idx="1">
                  <c:v>10</c:v>
                </c:pt>
                <c:pt idx="2">
                  <c:v>20</c:v>
                </c:pt>
                <c:pt idx="3">
                  <c:v>30</c:v>
                </c:pt>
                <c:pt idx="4">
                  <c:v>40</c:v>
                </c:pt>
                <c:pt idx="5">
                  <c:v>50</c:v>
                </c:pt>
                <c:pt idx="6">
                  <c:v>60</c:v>
                </c:pt>
                <c:pt idx="7">
                  <c:v>70</c:v>
                </c:pt>
                <c:pt idx="8">
                  <c:v>80</c:v>
                </c:pt>
                <c:pt idx="9">
                  <c:v>90</c:v>
                </c:pt>
                <c:pt idx="10">
                  <c:v>100</c:v>
                </c:pt>
                <c:pt idx="11">
                  <c:v>110</c:v>
                </c:pt>
              </c:numCache>
            </c:numRef>
          </c:yVal>
          <c:smooth val="1"/>
          <c:extLst>
            <c:ext xmlns:c16="http://schemas.microsoft.com/office/drawing/2014/chart" uri="{C3380CC4-5D6E-409C-BE32-E72D297353CC}">
              <c16:uniqueId val="{00000006-4C4C-423A-9553-E41EED64F714}"/>
            </c:ext>
          </c:extLst>
        </c:ser>
        <c:ser>
          <c:idx val="7"/>
          <c:order val="7"/>
          <c:tx>
            <c:v>Zoeller 191</c:v>
          </c:tx>
          <c:spPr>
            <a:ln w="19050" cap="rnd">
              <a:solidFill>
                <a:schemeClr val="accent2">
                  <a:lumMod val="60000"/>
                </a:schemeClr>
              </a:solidFill>
              <a:round/>
            </a:ln>
            <a:effectLst/>
          </c:spPr>
          <c:marker>
            <c:symbol val="none"/>
          </c:marker>
          <c:xVal>
            <c:numRef>
              <c:f>'Courbes de pompes'!$V$5:$V$19</c:f>
              <c:numCache>
                <c:formatCode>General</c:formatCode>
                <c:ptCount val="15"/>
                <c:pt idx="0">
                  <c:v>45</c:v>
                </c:pt>
                <c:pt idx="1">
                  <c:v>45</c:v>
                </c:pt>
                <c:pt idx="2">
                  <c:v>45</c:v>
                </c:pt>
                <c:pt idx="3">
                  <c:v>45</c:v>
                </c:pt>
                <c:pt idx="4">
                  <c:v>45</c:v>
                </c:pt>
                <c:pt idx="5">
                  <c:v>45</c:v>
                </c:pt>
                <c:pt idx="6">
                  <c:v>45</c:v>
                </c:pt>
                <c:pt idx="7">
                  <c:v>45</c:v>
                </c:pt>
                <c:pt idx="8">
                  <c:v>45</c:v>
                </c:pt>
                <c:pt idx="9">
                  <c:v>45</c:v>
                </c:pt>
                <c:pt idx="10">
                  <c:v>40</c:v>
                </c:pt>
                <c:pt idx="11">
                  <c:v>30</c:v>
                </c:pt>
                <c:pt idx="12">
                  <c:v>20</c:v>
                </c:pt>
                <c:pt idx="13">
                  <c:v>10</c:v>
                </c:pt>
                <c:pt idx="14">
                  <c:v>0</c:v>
                </c:pt>
              </c:numCache>
            </c:numRef>
          </c:xVal>
          <c:yVal>
            <c:numRef>
              <c:f>'Courbes de pompes'!$W$5:$W$19</c:f>
              <c:numCache>
                <c:formatCode>General</c:formatCode>
                <c:ptCount val="15"/>
                <c:pt idx="0">
                  <c:v>5</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138</c:v>
                </c:pt>
              </c:numCache>
            </c:numRef>
          </c:yVal>
          <c:smooth val="1"/>
          <c:extLst>
            <c:ext xmlns:c16="http://schemas.microsoft.com/office/drawing/2014/chart" uri="{C3380CC4-5D6E-409C-BE32-E72D297353CC}">
              <c16:uniqueId val="{00000007-4C4C-423A-9553-E41EED64F714}"/>
            </c:ext>
          </c:extLst>
        </c:ser>
        <c:ser>
          <c:idx val="8"/>
          <c:order val="8"/>
          <c:tx>
            <c:v>Operation point</c:v>
          </c:tx>
          <c:spPr>
            <a:ln w="19050" cap="rnd">
              <a:noFill/>
              <a:round/>
            </a:ln>
            <a:effectLst/>
          </c:spPr>
          <c:marker>
            <c:symbol val="circle"/>
            <c:size val="7"/>
            <c:spPr>
              <a:solidFill>
                <a:srgbClr val="FF0000"/>
              </a:solidFill>
              <a:ln w="9525">
                <a:solidFill>
                  <a:srgbClr val="FF0000"/>
                </a:solidFill>
              </a:ln>
              <a:effectLst/>
            </c:spPr>
          </c:marker>
          <c:xVal>
            <c:numRef>
              <c:f>'Pump calculator'!$B$29</c:f>
              <c:numCache>
                <c:formatCode>0.0</c:formatCode>
                <c:ptCount val="1"/>
                <c:pt idx="0">
                  <c:v>0</c:v>
                </c:pt>
              </c:numCache>
            </c:numRef>
          </c:xVal>
          <c:yVal>
            <c:numRef>
              <c:f>'Pump calculator'!$B$28</c:f>
              <c:numCache>
                <c:formatCode>0.0</c:formatCode>
                <c:ptCount val="1"/>
                <c:pt idx="0">
                  <c:v>0</c:v>
                </c:pt>
              </c:numCache>
            </c:numRef>
          </c:yVal>
          <c:smooth val="1"/>
          <c:extLst>
            <c:ext xmlns:c16="http://schemas.microsoft.com/office/drawing/2014/chart" uri="{C3380CC4-5D6E-409C-BE32-E72D297353CC}">
              <c16:uniqueId val="{00000008-4C4C-423A-9553-E41EED64F714}"/>
            </c:ext>
          </c:extLst>
        </c:ser>
        <c:ser>
          <c:idx val="9"/>
          <c:order val="9"/>
          <c:tx>
            <c:v>Dash line</c:v>
          </c:tx>
          <c:spPr>
            <a:ln w="19050" cap="rnd">
              <a:solidFill>
                <a:schemeClr val="tx1"/>
              </a:solidFill>
              <a:prstDash val="dash"/>
              <a:round/>
            </a:ln>
            <a:effectLst/>
          </c:spPr>
          <c:marker>
            <c:symbol val="none"/>
          </c:marker>
          <c:xVal>
            <c:numRef>
              <c:f>'Pump calculator'!$B$74:$B$75</c:f>
              <c:numCache>
                <c:formatCode>0.0</c:formatCode>
                <c:ptCount val="2"/>
                <c:pt idx="0" formatCode="General">
                  <c:v>0</c:v>
                </c:pt>
                <c:pt idx="1">
                  <c:v>140</c:v>
                </c:pt>
              </c:numCache>
            </c:numRef>
          </c:xVal>
          <c:yVal>
            <c:numRef>
              <c:f>'Pump calculator'!$C$74:$C$75</c:f>
              <c:numCache>
                <c:formatCode>0.0</c:formatCode>
                <c:ptCount val="2"/>
                <c:pt idx="0">
                  <c:v>0</c:v>
                </c:pt>
                <c:pt idx="1">
                  <c:v>0</c:v>
                </c:pt>
              </c:numCache>
            </c:numRef>
          </c:yVal>
          <c:smooth val="1"/>
          <c:extLst>
            <c:ext xmlns:c16="http://schemas.microsoft.com/office/drawing/2014/chart" uri="{C3380CC4-5D6E-409C-BE32-E72D297353CC}">
              <c16:uniqueId val="{00000009-4C4C-423A-9553-E41EED64F714}"/>
            </c:ext>
          </c:extLst>
        </c:ser>
        <c:dLbls>
          <c:showLegendKey val="0"/>
          <c:showVal val="0"/>
          <c:showCatName val="0"/>
          <c:showSerName val="0"/>
          <c:showPercent val="0"/>
          <c:showBubbleSize val="0"/>
        </c:dLbls>
        <c:axId val="312454176"/>
        <c:axId val="312454656"/>
      </c:scatterChart>
      <c:valAx>
        <c:axId val="312454176"/>
        <c:scaling>
          <c:orientation val="minMax"/>
          <c:max val="1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A"/>
                  <a:t>Flow (gpm)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2454656"/>
        <c:crosses val="autoZero"/>
        <c:crossBetween val="midCat"/>
        <c:majorUnit val="10"/>
      </c:valAx>
      <c:valAx>
        <c:axId val="31245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A"/>
                  <a:t>Head loss</a:t>
                </a:r>
                <a:r>
                  <a:rPr lang="fr-CA" baseline="0"/>
                  <a:t> (ft)</a:t>
                </a:r>
                <a:endParaRPr lang="fr-CA"/>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CA"/>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245417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4 sorties</a:t>
            </a:r>
          </a:p>
        </c:rich>
      </c:tx>
      <c:layout>
        <c:manualLayout>
          <c:xMode val="edge"/>
          <c:yMode val="edge"/>
          <c:x val="0.43330571415658564"/>
          <c:y val="8.20896004757318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wer"/>
            <c:dispRSqr val="0"/>
            <c:dispEq val="0"/>
          </c:trendline>
          <c:trendline>
            <c:spPr>
              <a:ln w="19050" cap="rnd">
                <a:solidFill>
                  <a:schemeClr val="accent1"/>
                </a:solidFill>
                <a:prstDash val="sysDot"/>
              </a:ln>
              <a:effectLst/>
            </c:spPr>
            <c:trendlineType val="linear"/>
            <c:intercept val="0"/>
            <c:dispRSqr val="1"/>
            <c:dispEq val="1"/>
            <c:trendlineLbl>
              <c:layout>
                <c:manualLayout>
                  <c:x val="-0.24230110795218823"/>
                  <c:y val="-2.7793088363954506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'Calculs - Perte de charge'!$J$29:$J$33</c:f>
              <c:numCache>
                <c:formatCode>General</c:formatCode>
                <c:ptCount val="5"/>
                <c:pt idx="0">
                  <c:v>0</c:v>
                </c:pt>
                <c:pt idx="1">
                  <c:v>10</c:v>
                </c:pt>
                <c:pt idx="2">
                  <c:v>20</c:v>
                </c:pt>
                <c:pt idx="3">
                  <c:v>30</c:v>
                </c:pt>
                <c:pt idx="4">
                  <c:v>40</c:v>
                </c:pt>
              </c:numCache>
            </c:numRef>
          </c:xVal>
          <c:yVal>
            <c:numRef>
              <c:f>'Calculs - Perte de charge'!$K$29:$K$33</c:f>
              <c:numCache>
                <c:formatCode>General</c:formatCode>
                <c:ptCount val="5"/>
                <c:pt idx="0">
                  <c:v>0</c:v>
                </c:pt>
                <c:pt idx="1">
                  <c:v>2</c:v>
                </c:pt>
                <c:pt idx="2">
                  <c:v>3</c:v>
                </c:pt>
                <c:pt idx="3">
                  <c:v>4.5</c:v>
                </c:pt>
                <c:pt idx="4">
                  <c:v>6.4</c:v>
                </c:pt>
              </c:numCache>
            </c:numRef>
          </c:yVal>
          <c:smooth val="0"/>
          <c:extLst>
            <c:ext xmlns:c16="http://schemas.microsoft.com/office/drawing/2014/chart" uri="{C3380CC4-5D6E-409C-BE32-E72D297353CC}">
              <c16:uniqueId val="{00000000-2A07-4D38-9A80-6F89A921C661}"/>
            </c:ext>
          </c:extLst>
        </c:ser>
        <c:dLbls>
          <c:showLegendKey val="0"/>
          <c:showVal val="0"/>
          <c:showCatName val="0"/>
          <c:showSerName val="0"/>
          <c:showPercent val="0"/>
          <c:showBubbleSize val="0"/>
        </c:dLbls>
        <c:axId val="771902224"/>
        <c:axId val="771903304"/>
      </c:scatterChart>
      <c:valAx>
        <c:axId val="771902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903304"/>
        <c:crosses val="autoZero"/>
        <c:crossBetween val="midCat"/>
      </c:valAx>
      <c:valAx>
        <c:axId val="771903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9022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6 sorties</a:t>
            </a:r>
          </a:p>
        </c:rich>
      </c:tx>
      <c:layout>
        <c:manualLayout>
          <c:xMode val="edge"/>
          <c:yMode val="edge"/>
          <c:x val="0.38743758901239223"/>
          <c:y val="5.09707278956542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1"/>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'Calculs - Perte de charge'!$L$29:$L$31</c:f>
              <c:numCache>
                <c:formatCode>General</c:formatCode>
                <c:ptCount val="3"/>
                <c:pt idx="0">
                  <c:v>10</c:v>
                </c:pt>
                <c:pt idx="1">
                  <c:v>20</c:v>
                </c:pt>
                <c:pt idx="2">
                  <c:v>30</c:v>
                </c:pt>
              </c:numCache>
            </c:numRef>
          </c:xVal>
          <c:yVal>
            <c:numRef>
              <c:f>'Calculs - Perte de charge'!$M$29:$M$31</c:f>
              <c:numCache>
                <c:formatCode>General</c:formatCode>
                <c:ptCount val="3"/>
                <c:pt idx="0">
                  <c:v>2.5</c:v>
                </c:pt>
                <c:pt idx="1">
                  <c:v>4.5</c:v>
                </c:pt>
                <c:pt idx="2">
                  <c:v>7.5</c:v>
                </c:pt>
              </c:numCache>
            </c:numRef>
          </c:yVal>
          <c:smooth val="0"/>
          <c:extLst>
            <c:ext xmlns:c16="http://schemas.microsoft.com/office/drawing/2014/chart" uri="{C3380CC4-5D6E-409C-BE32-E72D297353CC}">
              <c16:uniqueId val="{00000000-DD8B-42C7-AC1F-C2FAE3938B3E}"/>
            </c:ext>
          </c:extLst>
        </c:ser>
        <c:dLbls>
          <c:showLegendKey val="0"/>
          <c:showVal val="0"/>
          <c:showCatName val="0"/>
          <c:showSerName val="0"/>
          <c:showPercent val="0"/>
          <c:showBubbleSize val="0"/>
        </c:dLbls>
        <c:axId val="344717776"/>
        <c:axId val="1355315456"/>
      </c:scatterChart>
      <c:valAx>
        <c:axId val="344717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5315456"/>
        <c:crosses val="autoZero"/>
        <c:crossBetween val="midCat"/>
      </c:valAx>
      <c:valAx>
        <c:axId val="1355315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7177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7.jpe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1670685</xdr:colOff>
      <xdr:row>7</xdr:row>
      <xdr:rowOff>270782</xdr:rowOff>
    </xdr:from>
    <xdr:to>
      <xdr:col>1</xdr:col>
      <xdr:colOff>3393478</xdr:colOff>
      <xdr:row>7</xdr:row>
      <xdr:rowOff>758139</xdr:rowOff>
    </xdr:to>
    <xdr:sp macro="" textlink="">
      <xdr:nvSpPr>
        <xdr:cNvPr id="7" name="Flèche droite 6">
          <a:extLst>
            <a:ext uri="{FF2B5EF4-FFF2-40B4-BE49-F238E27FC236}">
              <a16:creationId xmlns:a16="http://schemas.microsoft.com/office/drawing/2014/main" id="{0AFD756D-F79A-81D9-DECD-5D07FB11F228}"/>
            </a:ext>
          </a:extLst>
        </xdr:cNvPr>
        <xdr:cNvSpPr/>
      </xdr:nvSpPr>
      <xdr:spPr>
        <a:xfrm>
          <a:off x="2442482" y="4557032"/>
          <a:ext cx="1726746" cy="4776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twoCellAnchor>
    <xdr:from>
      <xdr:col>3</xdr:col>
      <xdr:colOff>151313</xdr:colOff>
      <xdr:row>7</xdr:row>
      <xdr:rowOff>263434</xdr:rowOff>
    </xdr:from>
    <xdr:to>
      <xdr:col>3</xdr:col>
      <xdr:colOff>883774</xdr:colOff>
      <xdr:row>7</xdr:row>
      <xdr:rowOff>760094</xdr:rowOff>
    </xdr:to>
    <xdr:sp macro="" textlink="">
      <xdr:nvSpPr>
        <xdr:cNvPr id="8" name="Flèche droite 7">
          <a:extLst>
            <a:ext uri="{FF2B5EF4-FFF2-40B4-BE49-F238E27FC236}">
              <a16:creationId xmlns:a16="http://schemas.microsoft.com/office/drawing/2014/main" id="{A0822419-36C5-0288-004E-10F0B6247DE9}"/>
            </a:ext>
          </a:extLst>
        </xdr:cNvPr>
        <xdr:cNvSpPr/>
      </xdr:nvSpPr>
      <xdr:spPr>
        <a:xfrm>
          <a:off x="6183087" y="4542064"/>
          <a:ext cx="721178" cy="4966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twoCellAnchor editAs="oneCell">
    <xdr:from>
      <xdr:col>5</xdr:col>
      <xdr:colOff>3143250</xdr:colOff>
      <xdr:row>0</xdr:row>
      <xdr:rowOff>733425</xdr:rowOff>
    </xdr:from>
    <xdr:to>
      <xdr:col>5</xdr:col>
      <xdr:colOff>6591300</xdr:colOff>
      <xdr:row>1</xdr:row>
      <xdr:rowOff>0</xdr:rowOff>
    </xdr:to>
    <xdr:pic>
      <xdr:nvPicPr>
        <xdr:cNvPr id="1072" name="Picture 93">
          <a:extLst>
            <a:ext uri="{FF2B5EF4-FFF2-40B4-BE49-F238E27FC236}">
              <a16:creationId xmlns:a16="http://schemas.microsoft.com/office/drawing/2014/main" id="{3F9CA7EB-F1E9-8151-B895-DF12EE7AA3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733425"/>
          <a:ext cx="34480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0</xdr:rowOff>
    </xdr:from>
    <xdr:to>
      <xdr:col>2</xdr:col>
      <xdr:colOff>1125855</xdr:colOff>
      <xdr:row>1</xdr:row>
      <xdr:rowOff>38100</xdr:rowOff>
    </xdr:to>
    <xdr:pic>
      <xdr:nvPicPr>
        <xdr:cNvPr id="1073" name="Image 1">
          <a:extLst>
            <a:ext uri="{FF2B5EF4-FFF2-40B4-BE49-F238E27FC236}">
              <a16:creationId xmlns:a16="http://schemas.microsoft.com/office/drawing/2014/main" id="{B798B269-9CFD-E727-5B98-A22580FECB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0"/>
          <a:ext cx="46482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5505450</xdr:colOff>
      <xdr:row>0</xdr:row>
      <xdr:rowOff>0</xdr:rowOff>
    </xdr:from>
    <xdr:to>
      <xdr:col>5</xdr:col>
      <xdr:colOff>6629400</xdr:colOff>
      <xdr:row>0</xdr:row>
      <xdr:rowOff>706755</xdr:rowOff>
    </xdr:to>
    <xdr:pic>
      <xdr:nvPicPr>
        <xdr:cNvPr id="1074" name="Image 2">
          <a:extLst>
            <a:ext uri="{FF2B5EF4-FFF2-40B4-BE49-F238E27FC236}">
              <a16:creationId xmlns:a16="http://schemas.microsoft.com/office/drawing/2014/main" id="{32608407-F23D-7D3A-DAFF-BF57B2F829C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935200" y="0"/>
          <a:ext cx="11239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390525</xdr:colOff>
      <xdr:row>6</xdr:row>
      <xdr:rowOff>95250</xdr:rowOff>
    </xdr:from>
    <xdr:to>
      <xdr:col>21</xdr:col>
      <xdr:colOff>381000</xdr:colOff>
      <xdr:row>35</xdr:row>
      <xdr:rowOff>114300</xdr:rowOff>
    </xdr:to>
    <xdr:pic>
      <xdr:nvPicPr>
        <xdr:cNvPr id="2058" name="Image 2">
          <a:extLst>
            <a:ext uri="{FF2B5EF4-FFF2-40B4-BE49-F238E27FC236}">
              <a16:creationId xmlns:a16="http://schemas.microsoft.com/office/drawing/2014/main" id="{49B6D902-1996-0ACF-D477-2A4BEA1E2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2300" y="1066800"/>
          <a:ext cx="10020300" cy="471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304462</xdr:colOff>
      <xdr:row>75</xdr:row>
      <xdr:rowOff>53884</xdr:rowOff>
    </xdr:from>
    <xdr:to>
      <xdr:col>12</xdr:col>
      <xdr:colOff>778696</xdr:colOff>
      <xdr:row>96</xdr:row>
      <xdr:rowOff>151095</xdr:rowOff>
    </xdr:to>
    <xdr:pic>
      <xdr:nvPicPr>
        <xdr:cNvPr id="22" name="Image 21">
          <a:extLst>
            <a:ext uri="{FF2B5EF4-FFF2-40B4-BE49-F238E27FC236}">
              <a16:creationId xmlns:a16="http://schemas.microsoft.com/office/drawing/2014/main" id="{18F31C2A-663F-607F-F3BB-9C3AFF4B2F56}"/>
            </a:ext>
          </a:extLst>
        </xdr:cNvPr>
        <xdr:cNvPicPr>
          <a:picLocks noChangeAspect="1"/>
        </xdr:cNvPicPr>
      </xdr:nvPicPr>
      <xdr:blipFill>
        <a:blip xmlns:r="http://schemas.openxmlformats.org/officeDocument/2006/relationships" r:embed="rId1"/>
        <a:stretch>
          <a:fillRect/>
        </a:stretch>
      </xdr:blipFill>
      <xdr:spPr>
        <a:xfrm>
          <a:off x="1809412" y="16665484"/>
          <a:ext cx="8450469" cy="3688136"/>
        </a:xfrm>
        <a:prstGeom prst="rect">
          <a:avLst/>
        </a:prstGeom>
      </xdr:spPr>
    </xdr:pic>
    <xdr:clientData/>
  </xdr:twoCellAnchor>
  <xdr:twoCellAnchor editAs="oneCell">
    <xdr:from>
      <xdr:col>2</xdr:col>
      <xdr:colOff>221278</xdr:colOff>
      <xdr:row>37</xdr:row>
      <xdr:rowOff>100853</xdr:rowOff>
    </xdr:from>
    <xdr:to>
      <xdr:col>12</xdr:col>
      <xdr:colOff>860992</xdr:colOff>
      <xdr:row>63</xdr:row>
      <xdr:rowOff>199058</xdr:rowOff>
    </xdr:to>
    <xdr:pic>
      <xdr:nvPicPr>
        <xdr:cNvPr id="2" name="Image 1">
          <a:extLst>
            <a:ext uri="{FF2B5EF4-FFF2-40B4-BE49-F238E27FC236}">
              <a16:creationId xmlns:a16="http://schemas.microsoft.com/office/drawing/2014/main" id="{803BC20D-8D57-63E9-AEFE-CB0AA6091B31}"/>
            </a:ext>
          </a:extLst>
        </xdr:cNvPr>
        <xdr:cNvPicPr>
          <a:picLocks noChangeAspect="1"/>
        </xdr:cNvPicPr>
      </xdr:nvPicPr>
      <xdr:blipFill>
        <a:blip xmlns:r="http://schemas.openxmlformats.org/officeDocument/2006/relationships" r:embed="rId2"/>
        <a:stretch>
          <a:fillRect/>
        </a:stretch>
      </xdr:blipFill>
      <xdr:spPr>
        <a:xfrm>
          <a:off x="1722866" y="9536206"/>
          <a:ext cx="8657635" cy="4595574"/>
        </a:xfrm>
        <a:prstGeom prst="rect">
          <a:avLst/>
        </a:prstGeom>
      </xdr:spPr>
    </xdr:pic>
    <xdr:clientData/>
  </xdr:twoCellAnchor>
  <xdr:twoCellAnchor editAs="oneCell">
    <xdr:from>
      <xdr:col>11</xdr:col>
      <xdr:colOff>142875</xdr:colOff>
      <xdr:row>4</xdr:row>
      <xdr:rowOff>123825</xdr:rowOff>
    </xdr:from>
    <xdr:to>
      <xdr:col>14</xdr:col>
      <xdr:colOff>971550</xdr:colOff>
      <xdr:row>9</xdr:row>
      <xdr:rowOff>0</xdr:rowOff>
    </xdr:to>
    <xdr:pic>
      <xdr:nvPicPr>
        <xdr:cNvPr id="3273" name="Picture 93">
          <a:extLst>
            <a:ext uri="{FF2B5EF4-FFF2-40B4-BE49-F238E27FC236}">
              <a16:creationId xmlns:a16="http://schemas.microsoft.com/office/drawing/2014/main" id="{A8BB2DB4-EC47-BE53-9EE1-1EAAC19E6E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20125" y="771525"/>
          <a:ext cx="3467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851031</xdr:colOff>
      <xdr:row>36</xdr:row>
      <xdr:rowOff>157369</xdr:rowOff>
    </xdr:from>
    <xdr:to>
      <xdr:col>3</xdr:col>
      <xdr:colOff>8282</xdr:colOff>
      <xdr:row>38</xdr:row>
      <xdr:rowOff>207367</xdr:rowOff>
    </xdr:to>
    <xdr:cxnSp macro="">
      <xdr:nvCxnSpPr>
        <xdr:cNvPr id="4" name="Connecteur droit 3">
          <a:extLst>
            <a:ext uri="{FF2B5EF4-FFF2-40B4-BE49-F238E27FC236}">
              <a16:creationId xmlns:a16="http://schemas.microsoft.com/office/drawing/2014/main" id="{51F2AA36-9999-624E-FC0B-D9527873F9D7}"/>
            </a:ext>
          </a:extLst>
        </xdr:cNvPr>
        <xdr:cNvCxnSpPr/>
      </xdr:nvCxnSpPr>
      <xdr:spPr>
        <a:xfrm flipV="1">
          <a:off x="2358466" y="9458739"/>
          <a:ext cx="93186" cy="3895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588065</xdr:colOff>
      <xdr:row>47</xdr:row>
      <xdr:rowOff>9232</xdr:rowOff>
    </xdr:from>
    <xdr:to>
      <xdr:col>13</xdr:col>
      <xdr:colOff>0</xdr:colOff>
      <xdr:row>51</xdr:row>
      <xdr:rowOff>0</xdr:rowOff>
    </xdr:to>
    <xdr:cxnSp macro="">
      <xdr:nvCxnSpPr>
        <xdr:cNvPr id="6" name="Connecteur droit 5">
          <a:extLst>
            <a:ext uri="{FF2B5EF4-FFF2-40B4-BE49-F238E27FC236}">
              <a16:creationId xmlns:a16="http://schemas.microsoft.com/office/drawing/2014/main" id="{A0CD2315-FB8C-293E-F947-FE9E6E884699}"/>
            </a:ext>
          </a:extLst>
        </xdr:cNvPr>
        <xdr:cNvCxnSpPr/>
      </xdr:nvCxnSpPr>
      <xdr:spPr>
        <a:xfrm flipV="1">
          <a:off x="10046804" y="11265297"/>
          <a:ext cx="372718" cy="6865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770283</xdr:colOff>
      <xdr:row>52</xdr:row>
      <xdr:rowOff>132521</xdr:rowOff>
    </xdr:from>
    <xdr:to>
      <xdr:col>12</xdr:col>
      <xdr:colOff>925097</xdr:colOff>
      <xdr:row>55</xdr:row>
      <xdr:rowOff>18463</xdr:rowOff>
    </xdr:to>
    <xdr:cxnSp macro="">
      <xdr:nvCxnSpPr>
        <xdr:cNvPr id="9" name="Connecteur droit 8">
          <a:extLst>
            <a:ext uri="{FF2B5EF4-FFF2-40B4-BE49-F238E27FC236}">
              <a16:creationId xmlns:a16="http://schemas.microsoft.com/office/drawing/2014/main" id="{49F96293-297C-C7DB-55F9-B31CEC3DB321}"/>
            </a:ext>
          </a:extLst>
        </xdr:cNvPr>
        <xdr:cNvCxnSpPr/>
      </xdr:nvCxnSpPr>
      <xdr:spPr>
        <a:xfrm>
          <a:off x="10229022" y="12249978"/>
          <a:ext cx="154814" cy="3911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234738</xdr:colOff>
      <xdr:row>63</xdr:row>
      <xdr:rowOff>91109</xdr:rowOff>
    </xdr:from>
    <xdr:to>
      <xdr:col>7</xdr:col>
      <xdr:colOff>496956</xdr:colOff>
      <xdr:row>64</xdr:row>
      <xdr:rowOff>12488</xdr:rowOff>
    </xdr:to>
    <xdr:cxnSp macro="">
      <xdr:nvCxnSpPr>
        <xdr:cNvPr id="14" name="Connecteur droit 13">
          <a:extLst>
            <a:ext uri="{FF2B5EF4-FFF2-40B4-BE49-F238E27FC236}">
              <a16:creationId xmlns:a16="http://schemas.microsoft.com/office/drawing/2014/main" id="{9F8873AA-B280-1943-FF52-386F97EA553B}"/>
            </a:ext>
          </a:extLst>
        </xdr:cNvPr>
        <xdr:cNvCxnSpPr/>
      </xdr:nvCxnSpPr>
      <xdr:spPr>
        <a:xfrm flipV="1">
          <a:off x="5825499" y="14188109"/>
          <a:ext cx="262218" cy="1698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46</xdr:row>
      <xdr:rowOff>0</xdr:rowOff>
    </xdr:from>
    <xdr:to>
      <xdr:col>2</xdr:col>
      <xdr:colOff>244005</xdr:colOff>
      <xdr:row>47</xdr:row>
      <xdr:rowOff>0</xdr:rowOff>
    </xdr:to>
    <xdr:cxnSp macro="">
      <xdr:nvCxnSpPr>
        <xdr:cNvPr id="17" name="Connecteur droit 16">
          <a:extLst>
            <a:ext uri="{FF2B5EF4-FFF2-40B4-BE49-F238E27FC236}">
              <a16:creationId xmlns:a16="http://schemas.microsoft.com/office/drawing/2014/main" id="{561DF27E-B23C-E4A2-710B-26B1EE0C97EE}"/>
            </a:ext>
          </a:extLst>
        </xdr:cNvPr>
        <xdr:cNvCxnSpPr/>
      </xdr:nvCxnSpPr>
      <xdr:spPr>
        <a:xfrm flipV="1">
          <a:off x="1507435" y="11090413"/>
          <a:ext cx="244005" cy="1656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925480</xdr:colOff>
      <xdr:row>59</xdr:row>
      <xdr:rowOff>791</xdr:rowOff>
    </xdr:from>
    <xdr:to>
      <xdr:col>2</xdr:col>
      <xdr:colOff>372717</xdr:colOff>
      <xdr:row>60</xdr:row>
      <xdr:rowOff>190500</xdr:rowOff>
    </xdr:to>
    <xdr:cxnSp macro="">
      <xdr:nvCxnSpPr>
        <xdr:cNvPr id="19" name="Connecteur droit 18">
          <a:extLst>
            <a:ext uri="{FF2B5EF4-FFF2-40B4-BE49-F238E27FC236}">
              <a16:creationId xmlns:a16="http://schemas.microsoft.com/office/drawing/2014/main" id="{E67CC2B3-2AE5-07D5-8F81-FB024BA579F9}"/>
            </a:ext>
          </a:extLst>
        </xdr:cNvPr>
        <xdr:cNvCxnSpPr/>
      </xdr:nvCxnSpPr>
      <xdr:spPr>
        <a:xfrm>
          <a:off x="1496980" y="13377204"/>
          <a:ext cx="383172" cy="3553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80</xdr:row>
      <xdr:rowOff>21166</xdr:rowOff>
    </xdr:from>
    <xdr:to>
      <xdr:col>2</xdr:col>
      <xdr:colOff>381000</xdr:colOff>
      <xdr:row>80</xdr:row>
      <xdr:rowOff>89297</xdr:rowOff>
    </xdr:to>
    <xdr:cxnSp macro="">
      <xdr:nvCxnSpPr>
        <xdr:cNvPr id="25" name="Connecteur droit 24">
          <a:extLst>
            <a:ext uri="{FF2B5EF4-FFF2-40B4-BE49-F238E27FC236}">
              <a16:creationId xmlns:a16="http://schemas.microsoft.com/office/drawing/2014/main" id="{3276FF05-AB92-2B78-BAE7-C3E279407F7F}"/>
            </a:ext>
          </a:extLst>
        </xdr:cNvPr>
        <xdr:cNvCxnSpPr/>
      </xdr:nvCxnSpPr>
      <xdr:spPr>
        <a:xfrm flipH="1" flipV="1">
          <a:off x="1506141" y="17487635"/>
          <a:ext cx="381000" cy="681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453259</xdr:colOff>
      <xdr:row>75</xdr:row>
      <xdr:rowOff>19050</xdr:rowOff>
    </xdr:from>
    <xdr:to>
      <xdr:col>4</xdr:col>
      <xdr:colOff>15240</xdr:colOff>
      <xdr:row>76</xdr:row>
      <xdr:rowOff>124810</xdr:rowOff>
    </xdr:to>
    <xdr:cxnSp macro="">
      <xdr:nvCxnSpPr>
        <xdr:cNvPr id="2533" name="Connecteur droit 2532">
          <a:extLst>
            <a:ext uri="{FF2B5EF4-FFF2-40B4-BE49-F238E27FC236}">
              <a16:creationId xmlns:a16="http://schemas.microsoft.com/office/drawing/2014/main" id="{30743243-A79A-2126-7CC3-C1484968783B}"/>
            </a:ext>
          </a:extLst>
        </xdr:cNvPr>
        <xdr:cNvCxnSpPr/>
      </xdr:nvCxnSpPr>
      <xdr:spPr>
        <a:xfrm flipV="1">
          <a:off x="2890345" y="16671378"/>
          <a:ext cx="350257" cy="2765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182541</xdr:colOff>
      <xdr:row>74</xdr:row>
      <xdr:rowOff>169405</xdr:rowOff>
    </xdr:from>
    <xdr:to>
      <xdr:col>8</xdr:col>
      <xdr:colOff>525124</xdr:colOff>
      <xdr:row>77</xdr:row>
      <xdr:rowOff>13533</xdr:rowOff>
    </xdr:to>
    <xdr:cxnSp macro="">
      <xdr:nvCxnSpPr>
        <xdr:cNvPr id="2535" name="Connecteur droit 2534">
          <a:extLst>
            <a:ext uri="{FF2B5EF4-FFF2-40B4-BE49-F238E27FC236}">
              <a16:creationId xmlns:a16="http://schemas.microsoft.com/office/drawing/2014/main" id="{FA14B544-9F67-C399-3964-E27600AEEC5B}"/>
            </a:ext>
          </a:extLst>
        </xdr:cNvPr>
        <xdr:cNvCxnSpPr/>
      </xdr:nvCxnSpPr>
      <xdr:spPr>
        <a:xfrm flipH="1" flipV="1">
          <a:off x="6561007" y="16650939"/>
          <a:ext cx="342583" cy="34993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90</xdr:row>
      <xdr:rowOff>137159</xdr:rowOff>
    </xdr:from>
    <xdr:to>
      <xdr:col>2</xdr:col>
      <xdr:colOff>587692</xdr:colOff>
      <xdr:row>91</xdr:row>
      <xdr:rowOff>5953</xdr:rowOff>
    </xdr:to>
    <xdr:cxnSp macro="">
      <xdr:nvCxnSpPr>
        <xdr:cNvPr id="2537" name="Connecteur droit 2536">
          <a:extLst>
            <a:ext uri="{FF2B5EF4-FFF2-40B4-BE49-F238E27FC236}">
              <a16:creationId xmlns:a16="http://schemas.microsoft.com/office/drawing/2014/main" id="{89A341A3-46F7-931C-3BBA-C3722398FFE9}"/>
            </a:ext>
          </a:extLst>
        </xdr:cNvPr>
        <xdr:cNvCxnSpPr/>
      </xdr:nvCxnSpPr>
      <xdr:spPr>
        <a:xfrm flipH="1">
          <a:off x="1506141" y="19258597"/>
          <a:ext cx="587692" cy="414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660797</xdr:colOff>
      <xdr:row>88</xdr:row>
      <xdr:rowOff>166688</xdr:rowOff>
    </xdr:from>
    <xdr:to>
      <xdr:col>3</xdr:col>
      <xdr:colOff>762000</xdr:colOff>
      <xdr:row>97</xdr:row>
      <xdr:rowOff>0</xdr:rowOff>
    </xdr:to>
    <xdr:cxnSp macro="">
      <xdr:nvCxnSpPr>
        <xdr:cNvPr id="2540" name="Connecteur droit 2539">
          <a:extLst>
            <a:ext uri="{FF2B5EF4-FFF2-40B4-BE49-F238E27FC236}">
              <a16:creationId xmlns:a16="http://schemas.microsoft.com/office/drawing/2014/main" id="{B0512040-E325-BC32-2C51-16255133F117}"/>
            </a:ext>
          </a:extLst>
        </xdr:cNvPr>
        <xdr:cNvCxnSpPr/>
      </xdr:nvCxnSpPr>
      <xdr:spPr>
        <a:xfrm>
          <a:off x="3101578" y="18942844"/>
          <a:ext cx="101203" cy="14644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662940</xdr:colOff>
      <xdr:row>92</xdr:row>
      <xdr:rowOff>125730</xdr:rowOff>
    </xdr:from>
    <xdr:to>
      <xdr:col>12</xdr:col>
      <xdr:colOff>952500</xdr:colOff>
      <xdr:row>95</xdr:row>
      <xdr:rowOff>180975</xdr:rowOff>
    </xdr:to>
    <xdr:cxnSp macro="">
      <xdr:nvCxnSpPr>
        <xdr:cNvPr id="2542" name="Connecteur droit 2541">
          <a:extLst>
            <a:ext uri="{FF2B5EF4-FFF2-40B4-BE49-F238E27FC236}">
              <a16:creationId xmlns:a16="http://schemas.microsoft.com/office/drawing/2014/main" id="{81878A81-814C-6A19-5AC2-3B3A8261DFDD}"/>
            </a:ext>
          </a:extLst>
        </xdr:cNvPr>
        <xdr:cNvCxnSpPr/>
      </xdr:nvCxnSpPr>
      <xdr:spPr>
        <a:xfrm flipH="1" flipV="1">
          <a:off x="10140315" y="19547205"/>
          <a:ext cx="289560" cy="6267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665117</xdr:colOff>
      <xdr:row>86</xdr:row>
      <xdr:rowOff>10886</xdr:rowOff>
    </xdr:from>
    <xdr:to>
      <xdr:col>12</xdr:col>
      <xdr:colOff>952500</xdr:colOff>
      <xdr:row>86</xdr:row>
      <xdr:rowOff>30753</xdr:rowOff>
    </xdr:to>
    <xdr:cxnSp macro="">
      <xdr:nvCxnSpPr>
        <xdr:cNvPr id="2544" name="Connecteur droit 2543">
          <a:extLst>
            <a:ext uri="{FF2B5EF4-FFF2-40B4-BE49-F238E27FC236}">
              <a16:creationId xmlns:a16="http://schemas.microsoft.com/office/drawing/2014/main" id="{4AF2B8FD-C658-387C-4D79-AAF43BD9D21D}"/>
            </a:ext>
          </a:extLst>
        </xdr:cNvPr>
        <xdr:cNvCxnSpPr/>
      </xdr:nvCxnSpPr>
      <xdr:spPr>
        <a:xfrm flipH="1">
          <a:off x="10141131" y="18571029"/>
          <a:ext cx="287383" cy="198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28575</xdr:colOff>
      <xdr:row>0</xdr:row>
      <xdr:rowOff>76200</xdr:rowOff>
    </xdr:from>
    <xdr:to>
      <xdr:col>7</xdr:col>
      <xdr:colOff>209550</xdr:colOff>
      <xdr:row>10</xdr:row>
      <xdr:rowOff>57150</xdr:rowOff>
    </xdr:to>
    <xdr:pic>
      <xdr:nvPicPr>
        <xdr:cNvPr id="3287" name="Image 6">
          <a:extLst>
            <a:ext uri="{FF2B5EF4-FFF2-40B4-BE49-F238E27FC236}">
              <a16:creationId xmlns:a16="http://schemas.microsoft.com/office/drawing/2014/main" id="{8A91666C-A2A6-1EB4-35BB-A565B8A650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1025" y="76200"/>
          <a:ext cx="5095875"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752475</xdr:colOff>
      <xdr:row>0</xdr:row>
      <xdr:rowOff>0</xdr:rowOff>
    </xdr:from>
    <xdr:to>
      <xdr:col>14</xdr:col>
      <xdr:colOff>971550</xdr:colOff>
      <xdr:row>4</xdr:row>
      <xdr:rowOff>57150</xdr:rowOff>
    </xdr:to>
    <xdr:pic>
      <xdr:nvPicPr>
        <xdr:cNvPr id="3288" name="Image 7">
          <a:extLst>
            <a:ext uri="{FF2B5EF4-FFF2-40B4-BE49-F238E27FC236}">
              <a16:creationId xmlns:a16="http://schemas.microsoft.com/office/drawing/2014/main" id="{837E7AE2-303A-D1DC-DB6C-7103CD5C0C2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34700" y="0"/>
          <a:ext cx="11525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382223</xdr:colOff>
      <xdr:row>79</xdr:row>
      <xdr:rowOff>83802</xdr:rowOff>
    </xdr:from>
    <xdr:to>
      <xdr:col>2</xdr:col>
      <xdr:colOff>389882</xdr:colOff>
      <xdr:row>81</xdr:row>
      <xdr:rowOff>64559</xdr:rowOff>
    </xdr:to>
    <xdr:cxnSp macro="">
      <xdr:nvCxnSpPr>
        <xdr:cNvPr id="20" name="Connecteur droit 19">
          <a:extLst>
            <a:ext uri="{FF2B5EF4-FFF2-40B4-BE49-F238E27FC236}">
              <a16:creationId xmlns:a16="http://schemas.microsoft.com/office/drawing/2014/main" id="{5DCCF1D3-948F-CDF9-AC57-B3898A8A1515}"/>
            </a:ext>
          </a:extLst>
        </xdr:cNvPr>
        <xdr:cNvCxnSpPr/>
      </xdr:nvCxnSpPr>
      <xdr:spPr>
        <a:xfrm flipH="1">
          <a:off x="1888364" y="17389536"/>
          <a:ext cx="7659" cy="3022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645026</xdr:colOff>
      <xdr:row>81</xdr:row>
      <xdr:rowOff>56171</xdr:rowOff>
    </xdr:from>
    <xdr:to>
      <xdr:col>12</xdr:col>
      <xdr:colOff>651183</xdr:colOff>
      <xdr:row>82</xdr:row>
      <xdr:rowOff>114217</xdr:rowOff>
    </xdr:to>
    <xdr:cxnSp macro="">
      <xdr:nvCxnSpPr>
        <xdr:cNvPr id="21" name="Connecteur droit 20">
          <a:extLst>
            <a:ext uri="{FF2B5EF4-FFF2-40B4-BE49-F238E27FC236}">
              <a16:creationId xmlns:a16="http://schemas.microsoft.com/office/drawing/2014/main" id="{C71F6EE5-123B-4592-E718-027A99E46740}"/>
            </a:ext>
          </a:extLst>
        </xdr:cNvPr>
        <xdr:cNvCxnSpPr/>
      </xdr:nvCxnSpPr>
      <xdr:spPr>
        <a:xfrm flipH="1">
          <a:off x="10122401" y="17648846"/>
          <a:ext cx="6157" cy="2294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660491</xdr:colOff>
      <xdr:row>81</xdr:row>
      <xdr:rowOff>145052</xdr:rowOff>
    </xdr:from>
    <xdr:to>
      <xdr:col>12</xdr:col>
      <xdr:colOff>957943</xdr:colOff>
      <xdr:row>81</xdr:row>
      <xdr:rowOff>168728</xdr:rowOff>
    </xdr:to>
    <xdr:cxnSp macro="">
      <xdr:nvCxnSpPr>
        <xdr:cNvPr id="27" name="Connecteur droit 26">
          <a:extLst>
            <a:ext uri="{FF2B5EF4-FFF2-40B4-BE49-F238E27FC236}">
              <a16:creationId xmlns:a16="http://schemas.microsoft.com/office/drawing/2014/main" id="{D0C8D97D-BEFE-9820-E8C2-83C77DBFCF4B}"/>
            </a:ext>
          </a:extLst>
        </xdr:cNvPr>
        <xdr:cNvCxnSpPr/>
      </xdr:nvCxnSpPr>
      <xdr:spPr>
        <a:xfrm flipH="1" flipV="1">
          <a:off x="10136505" y="17866995"/>
          <a:ext cx="297452" cy="236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826356</xdr:colOff>
      <xdr:row>86</xdr:row>
      <xdr:rowOff>21038</xdr:rowOff>
    </xdr:from>
    <xdr:to>
      <xdr:col>12</xdr:col>
      <xdr:colOff>0</xdr:colOff>
      <xdr:row>99</xdr:row>
      <xdr:rowOff>5953</xdr:rowOff>
    </xdr:to>
    <xdr:cxnSp macro="">
      <xdr:nvCxnSpPr>
        <xdr:cNvPr id="31" name="Connecteur droit 30">
          <a:extLst>
            <a:ext uri="{FF2B5EF4-FFF2-40B4-BE49-F238E27FC236}">
              <a16:creationId xmlns:a16="http://schemas.microsoft.com/office/drawing/2014/main" id="{46D2EE86-61C8-E458-EB65-AFD2160BED60}"/>
            </a:ext>
          </a:extLst>
        </xdr:cNvPr>
        <xdr:cNvCxnSpPr/>
      </xdr:nvCxnSpPr>
      <xdr:spPr>
        <a:xfrm flipH="1" flipV="1">
          <a:off x="7225965" y="18475726"/>
          <a:ext cx="2263316" cy="22828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660491</xdr:colOff>
      <xdr:row>89</xdr:row>
      <xdr:rowOff>45448</xdr:rowOff>
    </xdr:from>
    <xdr:to>
      <xdr:col>13</xdr:col>
      <xdr:colOff>5443</xdr:colOff>
      <xdr:row>91</xdr:row>
      <xdr:rowOff>38100</xdr:rowOff>
    </xdr:to>
    <xdr:cxnSp macro="">
      <xdr:nvCxnSpPr>
        <xdr:cNvPr id="16" name="Connecteur droit 15">
          <a:extLst>
            <a:ext uri="{FF2B5EF4-FFF2-40B4-BE49-F238E27FC236}">
              <a16:creationId xmlns:a16="http://schemas.microsoft.com/office/drawing/2014/main" id="{B8A5E69A-9850-46A3-8BD8-2DDBBA5E2D7B}"/>
            </a:ext>
          </a:extLst>
        </xdr:cNvPr>
        <xdr:cNvCxnSpPr/>
      </xdr:nvCxnSpPr>
      <xdr:spPr>
        <a:xfrm flipH="1" flipV="1">
          <a:off x="10136505" y="19106334"/>
          <a:ext cx="308338" cy="3409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33130</xdr:colOff>
      <xdr:row>96</xdr:row>
      <xdr:rowOff>41413</xdr:rowOff>
    </xdr:from>
    <xdr:to>
      <xdr:col>7</xdr:col>
      <xdr:colOff>762000</xdr:colOff>
      <xdr:row>99</xdr:row>
      <xdr:rowOff>177165</xdr:rowOff>
    </xdr:to>
    <xdr:cxnSp macro="">
      <xdr:nvCxnSpPr>
        <xdr:cNvPr id="30" name="Connecteur droit 29">
          <a:extLst>
            <a:ext uri="{FF2B5EF4-FFF2-40B4-BE49-F238E27FC236}">
              <a16:creationId xmlns:a16="http://schemas.microsoft.com/office/drawing/2014/main" id="{7C5B9F24-DBA7-4279-ACF0-4EE746B936F3}"/>
            </a:ext>
          </a:extLst>
        </xdr:cNvPr>
        <xdr:cNvCxnSpPr/>
      </xdr:nvCxnSpPr>
      <xdr:spPr>
        <a:xfrm>
          <a:off x="5623891" y="20408348"/>
          <a:ext cx="728870" cy="6575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364435</xdr:colOff>
      <xdr:row>37</xdr:row>
      <xdr:rowOff>1905</xdr:rowOff>
    </xdr:from>
    <xdr:to>
      <xdr:col>7</xdr:col>
      <xdr:colOff>455543</xdr:colOff>
      <xdr:row>38</xdr:row>
      <xdr:rowOff>66260</xdr:rowOff>
    </xdr:to>
    <xdr:cxnSp macro="">
      <xdr:nvCxnSpPr>
        <xdr:cNvPr id="15" name="Connecteur droit 14">
          <a:extLst>
            <a:ext uri="{FF2B5EF4-FFF2-40B4-BE49-F238E27FC236}">
              <a16:creationId xmlns:a16="http://schemas.microsoft.com/office/drawing/2014/main" id="{3BF15D2D-447B-4562-BCA0-73EC32E08226}"/>
            </a:ext>
          </a:extLst>
        </xdr:cNvPr>
        <xdr:cNvCxnSpPr/>
      </xdr:nvCxnSpPr>
      <xdr:spPr>
        <a:xfrm flipV="1">
          <a:off x="5955196" y="9468927"/>
          <a:ext cx="91108" cy="2382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80345</xdr:colOff>
      <xdr:row>27</xdr:row>
      <xdr:rowOff>156884</xdr:rowOff>
    </xdr:from>
    <xdr:to>
      <xdr:col>16</xdr:col>
      <xdr:colOff>265129</xdr:colOff>
      <xdr:row>43</xdr:row>
      <xdr:rowOff>42918</xdr:rowOff>
    </xdr:to>
    <xdr:graphicFrame macro="">
      <xdr:nvGraphicFramePr>
        <xdr:cNvPr id="3" name="Graphique 2">
          <a:extLst>
            <a:ext uri="{FF2B5EF4-FFF2-40B4-BE49-F238E27FC236}">
              <a16:creationId xmlns:a16="http://schemas.microsoft.com/office/drawing/2014/main" id="{F13E57B7-A420-463F-AB38-B4E05DB7A3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69141</xdr:colOff>
      <xdr:row>19</xdr:row>
      <xdr:rowOff>4256</xdr:rowOff>
    </xdr:from>
    <xdr:to>
      <xdr:col>16</xdr:col>
      <xdr:colOff>257735</xdr:colOff>
      <xdr:row>27</xdr:row>
      <xdr:rowOff>119454</xdr:rowOff>
    </xdr:to>
    <xdr:graphicFrame macro="">
      <xdr:nvGraphicFramePr>
        <xdr:cNvPr id="8" name="Graphique 7">
          <a:extLst>
            <a:ext uri="{FF2B5EF4-FFF2-40B4-BE49-F238E27FC236}">
              <a16:creationId xmlns:a16="http://schemas.microsoft.com/office/drawing/2014/main" id="{4E98D241-C118-4FD2-AE37-93E7D4833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50314</xdr:colOff>
      <xdr:row>3</xdr:row>
      <xdr:rowOff>4035</xdr:rowOff>
    </xdr:from>
    <xdr:to>
      <xdr:col>16</xdr:col>
      <xdr:colOff>233418</xdr:colOff>
      <xdr:row>18</xdr:row>
      <xdr:rowOff>130438</xdr:rowOff>
    </xdr:to>
    <xdr:graphicFrame macro="">
      <xdr:nvGraphicFramePr>
        <xdr:cNvPr id="9" name="Graphique 8">
          <a:extLst>
            <a:ext uri="{FF2B5EF4-FFF2-40B4-BE49-F238E27FC236}">
              <a16:creationId xmlns:a16="http://schemas.microsoft.com/office/drawing/2014/main" id="{F8BCD500-8DE9-483A-9C4F-47D84C625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682163</xdr:colOff>
      <xdr:row>18</xdr:row>
      <xdr:rowOff>99059</xdr:rowOff>
    </xdr:from>
    <xdr:to>
      <xdr:col>19</xdr:col>
      <xdr:colOff>435273</xdr:colOff>
      <xdr:row>30</xdr:row>
      <xdr:rowOff>1299</xdr:rowOff>
    </xdr:to>
    <xdr:pic>
      <xdr:nvPicPr>
        <xdr:cNvPr id="2" name="Image 1">
          <a:extLst>
            <a:ext uri="{FF2B5EF4-FFF2-40B4-BE49-F238E27FC236}">
              <a16:creationId xmlns:a16="http://schemas.microsoft.com/office/drawing/2014/main" id="{C34F2521-91E9-46F7-9525-26CE5023A349}"/>
            </a:ext>
          </a:extLst>
        </xdr:cNvPr>
        <xdr:cNvPicPr>
          <a:picLocks noChangeAspect="1"/>
        </xdr:cNvPicPr>
      </xdr:nvPicPr>
      <xdr:blipFill>
        <a:blip xmlns:r="http://schemas.openxmlformats.org/officeDocument/2006/relationships" r:embed="rId1"/>
        <a:stretch>
          <a:fillRect/>
        </a:stretch>
      </xdr:blipFill>
      <xdr:spPr>
        <a:xfrm>
          <a:off x="11869708" y="3216332"/>
          <a:ext cx="4537777" cy="2075672"/>
        </a:xfrm>
        <a:prstGeom prst="rect">
          <a:avLst/>
        </a:prstGeom>
      </xdr:spPr>
    </xdr:pic>
    <xdr:clientData/>
  </xdr:twoCellAnchor>
  <xdr:twoCellAnchor>
    <xdr:from>
      <xdr:col>13</xdr:col>
      <xdr:colOff>658091</xdr:colOff>
      <xdr:row>30</xdr:row>
      <xdr:rowOff>10911</xdr:rowOff>
    </xdr:from>
    <xdr:to>
      <xdr:col>18</xdr:col>
      <xdr:colOff>303586</xdr:colOff>
      <xdr:row>40</xdr:row>
      <xdr:rowOff>97155</xdr:rowOff>
    </xdr:to>
    <xdr:graphicFrame macro="">
      <xdr:nvGraphicFramePr>
        <xdr:cNvPr id="3" name="Graphique 2">
          <a:extLst>
            <a:ext uri="{FF2B5EF4-FFF2-40B4-BE49-F238E27FC236}">
              <a16:creationId xmlns:a16="http://schemas.microsoft.com/office/drawing/2014/main" id="{1DE222EF-AA60-0AA0-2170-C5A01B6320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720610</xdr:colOff>
      <xdr:row>40</xdr:row>
      <xdr:rowOff>164870</xdr:rowOff>
    </xdr:from>
    <xdr:to>
      <xdr:col>18</xdr:col>
      <xdr:colOff>346363</xdr:colOff>
      <xdr:row>52</xdr:row>
      <xdr:rowOff>147206</xdr:rowOff>
    </xdr:to>
    <xdr:graphicFrame macro="">
      <xdr:nvGraphicFramePr>
        <xdr:cNvPr id="4" name="Graphique 3">
          <a:extLst>
            <a:ext uri="{FF2B5EF4-FFF2-40B4-BE49-F238E27FC236}">
              <a16:creationId xmlns:a16="http://schemas.microsoft.com/office/drawing/2014/main" id="{C1D481ED-2A7F-6281-0CB3-BFA05A733C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oowa.org/wp-content/uploads/2022/05/Shallow-Buried-Trench-Best-Practices-FINAL-March2019.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85"/>
  <sheetViews>
    <sheetView tabSelected="1" zoomScale="55" zoomScaleNormal="55" workbookViewId="0"/>
  </sheetViews>
  <sheetFormatPr defaultColWidth="11.5546875" defaultRowHeight="13.2" x14ac:dyDescent="0.25"/>
  <cols>
    <col min="1" max="1" width="11.5546875" style="1"/>
    <col min="2" max="2" width="53.109375" style="1" customWidth="1"/>
    <col min="3" max="3" width="25.6640625" style="26" customWidth="1"/>
    <col min="4" max="4" width="17.88671875" style="1" customWidth="1"/>
    <col min="5" max="5" width="33.109375" style="1" customWidth="1"/>
    <col min="6" max="6" width="100.109375" style="1" customWidth="1"/>
    <col min="7" max="7" width="11.5546875" style="1"/>
    <col min="8" max="8" width="11.5546875" style="1" customWidth="1"/>
    <col min="9" max="16384" width="11.5546875" style="1"/>
  </cols>
  <sheetData>
    <row r="1" spans="1:7" ht="111" customHeight="1" x14ac:dyDescent="0.25"/>
    <row r="2" spans="1:7" ht="34.5" customHeight="1" x14ac:dyDescent="0.5">
      <c r="B2" s="14" t="s">
        <v>0</v>
      </c>
    </row>
    <row r="3" spans="1:7" ht="34.5" customHeight="1" x14ac:dyDescent="0.4">
      <c r="B3" s="2" t="s">
        <v>1</v>
      </c>
      <c r="C3" s="47" t="s">
        <v>2</v>
      </c>
      <c r="D3" s="13"/>
    </row>
    <row r="4" spans="1:7" ht="34.5" customHeight="1" x14ac:dyDescent="0.4">
      <c r="B4" s="2"/>
      <c r="C4" s="48"/>
      <c r="D4" s="13"/>
    </row>
    <row r="5" spans="1:7" ht="34.5" customHeight="1" x14ac:dyDescent="0.25">
      <c r="B5" s="19" t="s">
        <v>3</v>
      </c>
      <c r="C5" s="49"/>
      <c r="D5" s="50"/>
      <c r="E5" s="51"/>
    </row>
    <row r="6" spans="1:7" ht="34.5" customHeight="1" x14ac:dyDescent="0.5">
      <c r="B6" s="19" t="s">
        <v>4</v>
      </c>
      <c r="C6" s="49"/>
      <c r="D6" s="50"/>
      <c r="E6" s="51"/>
      <c r="F6" s="33">
        <f ca="1">TODAY()</f>
        <v>45721</v>
      </c>
    </row>
    <row r="7" spans="1:7" ht="14.25" customHeight="1" x14ac:dyDescent="0.25"/>
    <row r="8" spans="1:7" ht="64.5" customHeight="1" x14ac:dyDescent="0.3">
      <c r="B8" s="4"/>
      <c r="C8" s="202" t="s">
        <v>5</v>
      </c>
      <c r="E8" s="202" t="s">
        <v>6</v>
      </c>
    </row>
    <row r="9" spans="1:7" ht="54" customHeight="1" x14ac:dyDescent="0.25">
      <c r="A9" s="11" t="s">
        <v>7</v>
      </c>
      <c r="B9" s="15" t="s">
        <v>8</v>
      </c>
      <c r="C9" s="203"/>
      <c r="D9" s="16" t="s">
        <v>9</v>
      </c>
      <c r="E9" s="203"/>
      <c r="F9" s="11" t="s">
        <v>10</v>
      </c>
    </row>
    <row r="10" spans="1:7" ht="54" customHeight="1" x14ac:dyDescent="0.25">
      <c r="A10" s="12">
        <v>1</v>
      </c>
      <c r="B10" s="20" t="s">
        <v>11</v>
      </c>
      <c r="C10" s="5"/>
      <c r="D10" s="6" t="s">
        <v>12</v>
      </c>
      <c r="E10" s="9" t="str">
        <f>IF(AND(C10&gt;0,C10&lt;125.00001),"OK",IF(C10="","Enter T-Time","Incorrect T-Time"))</f>
        <v>Enter T-Time</v>
      </c>
      <c r="F10" s="3" t="s">
        <v>13</v>
      </c>
    </row>
    <row r="11" spans="1:7" ht="55.5" customHeight="1" x14ac:dyDescent="0.25">
      <c r="A11" s="12">
        <v>2</v>
      </c>
      <c r="B11" s="20" t="s">
        <v>14</v>
      </c>
      <c r="C11" s="37"/>
      <c r="D11" s="6" t="s">
        <v>15</v>
      </c>
      <c r="E11" s="9" t="str">
        <f>IF(C11&gt;0,"OK",IF(C11="","Enter Design Flow","Incorrect Design Flow"))</f>
        <v>Enter Design Flow</v>
      </c>
      <c r="F11" s="3" t="s">
        <v>16</v>
      </c>
    </row>
    <row r="12" spans="1:7" ht="48.75" customHeight="1" x14ac:dyDescent="0.25">
      <c r="A12" s="12">
        <v>3</v>
      </c>
      <c r="B12" s="66" t="s">
        <v>17</v>
      </c>
      <c r="C12" s="6">
        <v>0.6</v>
      </c>
      <c r="D12" s="6" t="s">
        <v>18</v>
      </c>
      <c r="E12" s="10"/>
      <c r="F12" s="3" t="s">
        <v>19</v>
      </c>
      <c r="G12" s="63"/>
    </row>
    <row r="13" spans="1:7" ht="48.75" customHeight="1" x14ac:dyDescent="0.25">
      <c r="A13" s="12">
        <v>4</v>
      </c>
      <c r="B13" s="66" t="s">
        <v>20</v>
      </c>
      <c r="C13" s="65">
        <v>1</v>
      </c>
      <c r="D13" s="6" t="s">
        <v>18</v>
      </c>
      <c r="E13" s="9" t="str">
        <f>IF(C13="","Enter Dept",IF(AND(C10&gt;125,C13&gt;0),"enter 0",IF(C13&lt;0,"Dept need to be over 0","OK")))</f>
        <v>OK</v>
      </c>
      <c r="F13" s="3" t="s">
        <v>21</v>
      </c>
      <c r="G13" s="63"/>
    </row>
    <row r="14" spans="1:7" ht="68.25" customHeight="1" x14ac:dyDescent="0.25">
      <c r="A14" s="12">
        <v>5</v>
      </c>
      <c r="B14" s="66" t="s">
        <v>22</v>
      </c>
      <c r="C14" s="65">
        <v>0.3</v>
      </c>
      <c r="D14" s="6" t="s">
        <v>18</v>
      </c>
      <c r="E14" s="9" t="str">
        <f>IF(C14="","Enter Dept",IF(C14&gt;C13,"Soil dept is not large enough","OK"))</f>
        <v>OK</v>
      </c>
      <c r="F14" s="3" t="s">
        <v>23</v>
      </c>
      <c r="G14" s="63"/>
    </row>
    <row r="15" spans="1:7" ht="48.75" customHeight="1" x14ac:dyDescent="0.25">
      <c r="A15" s="12">
        <v>6</v>
      </c>
      <c r="B15" s="66" t="s">
        <v>24</v>
      </c>
      <c r="C15" s="121">
        <f>C13-C14</f>
        <v>0.7</v>
      </c>
      <c r="D15" s="6" t="s">
        <v>18</v>
      </c>
      <c r="E15" s="9" t="str">
        <f>IF(C15="","",IF(C15&lt;0,"Dept inconsistensies",IF(C15&lt;C12,"Imported sand layer required","OK")))</f>
        <v>OK</v>
      </c>
      <c r="F15" s="3" t="s">
        <v>25</v>
      </c>
      <c r="G15" s="63"/>
    </row>
    <row r="16" spans="1:7" ht="48.75" customHeight="1" x14ac:dyDescent="0.25">
      <c r="A16" s="12">
        <v>7</v>
      </c>
      <c r="B16" s="66" t="s">
        <v>26</v>
      </c>
      <c r="C16" s="65">
        <v>0</v>
      </c>
      <c r="D16" s="6" t="s">
        <v>18</v>
      </c>
      <c r="E16" s="9" t="str">
        <f>IF(C16="","Enter Value",IF(C16&lt;0,"Thickness needs to be 0 or more","OK"))</f>
        <v>OK</v>
      </c>
      <c r="F16" s="3" t="s">
        <v>27</v>
      </c>
    </row>
    <row r="17" spans="1:12" ht="48.75" customHeight="1" x14ac:dyDescent="0.25">
      <c r="A17" s="12">
        <v>8</v>
      </c>
      <c r="B17" s="66" t="s">
        <v>28</v>
      </c>
      <c r="C17" s="6">
        <f>IF(OR(C14="",C16=""),"",C13-C14+C16)</f>
        <v>0.7</v>
      </c>
      <c r="D17" s="6" t="s">
        <v>18</v>
      </c>
      <c r="E17" s="9" t="str">
        <f>IF(C17="","",IF(C17&lt;C12,"Separation distance error","OK"))</f>
        <v>OK</v>
      </c>
      <c r="F17" s="3" t="s">
        <v>29</v>
      </c>
      <c r="G17" s="63"/>
    </row>
    <row r="18" spans="1:12" ht="48.75" customHeight="1" x14ac:dyDescent="0.4">
      <c r="A18" s="12">
        <v>9</v>
      </c>
      <c r="B18" s="66" t="s">
        <v>30</v>
      </c>
      <c r="C18" s="7">
        <f>'Calcul minimum length'!G6</f>
        <v>30</v>
      </c>
      <c r="D18" s="6" t="s">
        <v>18</v>
      </c>
      <c r="E18" s="10"/>
      <c r="F18" s="3" t="str">
        <f>IF(C18&gt;=30,VLOOKUP(TRUE,'Calcul minimum length'!F2:H4,3,FALSE),"Error length is not enough")</f>
        <v>Minimum system length = Q/75</v>
      </c>
      <c r="G18" s="60"/>
      <c r="L18" s="35"/>
    </row>
    <row r="19" spans="1:12" ht="55.5" customHeight="1" x14ac:dyDescent="0.3">
      <c r="A19" s="12">
        <v>10</v>
      </c>
      <c r="B19" s="66" t="s">
        <v>31</v>
      </c>
      <c r="C19" s="28">
        <f>MAX('Calcul minimum length'!C9:C10)</f>
        <v>9.8360655737704921</v>
      </c>
      <c r="D19" s="6" t="s">
        <v>32</v>
      </c>
      <c r="E19" s="10"/>
      <c r="F19" s="3" t="s">
        <v>33</v>
      </c>
      <c r="G19" s="61"/>
    </row>
    <row r="20" spans="1:12" ht="35.25" customHeight="1" x14ac:dyDescent="0.25">
      <c r="A20" s="12">
        <v>11</v>
      </c>
      <c r="B20" s="20" t="s">
        <v>34</v>
      </c>
      <c r="C20" s="5"/>
      <c r="D20" s="6" t="s">
        <v>35</v>
      </c>
      <c r="E20" s="9" t="str">
        <f>IF(C20="","Enter Number of Rows",IF(C20&gt;0,"OK","Incorrect number of rows"))</f>
        <v>Enter Number of Rows</v>
      </c>
      <c r="F20" s="3" t="s">
        <v>36</v>
      </c>
    </row>
    <row r="21" spans="1:12" ht="37.5" customHeight="1" x14ac:dyDescent="0.4">
      <c r="A21" s="12">
        <v>12</v>
      </c>
      <c r="B21" s="20" t="s">
        <v>37</v>
      </c>
      <c r="C21" s="5"/>
      <c r="D21" s="6" t="s">
        <v>32</v>
      </c>
      <c r="E21" s="9" t="str">
        <f>IF(C21="","Enter Number of Pipe per Row",IF(OR(C21&gt;10,C21&lt;1),"Incorrect number of pipe per row","OK"))</f>
        <v>Enter Number of Pipe per Row</v>
      </c>
      <c r="F21" s="3" t="s">
        <v>38</v>
      </c>
      <c r="H21" s="60"/>
    </row>
    <row r="22" spans="1:12" ht="51.75" customHeight="1" x14ac:dyDescent="0.4">
      <c r="A22" s="12">
        <v>13</v>
      </c>
      <c r="B22" s="20" t="s">
        <v>39</v>
      </c>
      <c r="C22" s="5"/>
      <c r="D22" s="6" t="s">
        <v>40</v>
      </c>
      <c r="E22" s="9" t="str">
        <f>IF(C22="","Enter Number of Sections",IF(C83-C82=0,"OK","Unballanced number of row per section - Change number of sections"))</f>
        <v>Enter Number of Sections</v>
      </c>
      <c r="F22" s="3" t="s">
        <v>41</v>
      </c>
      <c r="H22" s="60"/>
    </row>
    <row r="23" spans="1:12" ht="51.75" customHeight="1" x14ac:dyDescent="0.4">
      <c r="A23" s="12">
        <v>14</v>
      </c>
      <c r="B23" s="21" t="s">
        <v>42</v>
      </c>
      <c r="C23" s="6" t="str">
        <f>IF(OR(C19="",C20=""),"",(C21*(C20/C22)))</f>
        <v/>
      </c>
      <c r="D23" s="6" t="s">
        <v>32</v>
      </c>
      <c r="E23" s="10"/>
      <c r="F23" s="3"/>
      <c r="G23" s="68"/>
      <c r="H23" s="60"/>
    </row>
    <row r="24" spans="1:12" ht="48.75" customHeight="1" x14ac:dyDescent="0.25">
      <c r="A24" s="12">
        <v>15</v>
      </c>
      <c r="B24" s="21" t="s">
        <v>43</v>
      </c>
      <c r="C24" s="6" t="str">
        <f>IF(OR(C20="",C21=""),"",C23*C22)</f>
        <v/>
      </c>
      <c r="D24" s="6" t="s">
        <v>32</v>
      </c>
      <c r="E24" s="9" t="str">
        <f>IF(C24="","",IF(C24&lt;C19,"Insufficient number of pipes","OK"))</f>
        <v/>
      </c>
      <c r="F24" s="3" t="str">
        <f>IF(C24&gt;150,"Warning: Validate the calculation for the pump required with Make-Way.","This value represent the product of the number of rows by the number of pipes per rows (line 12 x line 13). An error message will appear if the result is smaller than the minimum number of pipes required shown at line 10.")</f>
        <v>Warning: Validate the calculation for the pump required with Make-Way.</v>
      </c>
      <c r="G24" s="68"/>
    </row>
    <row r="25" spans="1:12" ht="35.25" customHeight="1" x14ac:dyDescent="0.45">
      <c r="A25" s="12">
        <v>16</v>
      </c>
      <c r="B25" s="21" t="s">
        <v>44</v>
      </c>
      <c r="C25" s="6" t="str">
        <f>IF(C24="","",(C24*3.05))</f>
        <v/>
      </c>
      <c r="D25" s="6" t="s">
        <v>18</v>
      </c>
      <c r="E25" s="9" t="str">
        <f>IF(C25&lt;C18,"Error length is not enough","OK")</f>
        <v>OK</v>
      </c>
      <c r="F25" s="3" t="s">
        <v>45</v>
      </c>
      <c r="G25" s="53"/>
      <c r="H25" s="59"/>
    </row>
    <row r="26" spans="1:12" ht="35.25" customHeight="1" x14ac:dyDescent="0.45">
      <c r="A26" s="12">
        <v>17</v>
      </c>
      <c r="B26" s="21" t="s">
        <v>46</v>
      </c>
      <c r="C26" s="7">
        <f>C21*3.05</f>
        <v>0</v>
      </c>
      <c r="D26" s="6" t="s">
        <v>18</v>
      </c>
      <c r="E26" s="10"/>
      <c r="F26" s="3" t="s">
        <v>47</v>
      </c>
      <c r="G26" s="53"/>
    </row>
    <row r="27" spans="1:12" ht="39.6" customHeight="1" x14ac:dyDescent="0.3">
      <c r="A27" s="12">
        <v>18</v>
      </c>
      <c r="B27" s="20" t="s">
        <v>48</v>
      </c>
      <c r="C27" s="7">
        <v>2</v>
      </c>
      <c r="D27" s="6" t="s">
        <v>18</v>
      </c>
      <c r="E27" s="10"/>
      <c r="F27" s="3" t="s">
        <v>49</v>
      </c>
      <c r="G27" s="23"/>
    </row>
    <row r="28" spans="1:12" ht="35.25" customHeight="1" x14ac:dyDescent="0.25">
      <c r="A28" s="12">
        <v>19</v>
      </c>
      <c r="B28" s="20" t="s">
        <v>50</v>
      </c>
      <c r="C28" s="7">
        <v>0.3</v>
      </c>
      <c r="D28" s="7" t="s">
        <v>18</v>
      </c>
      <c r="E28" s="10"/>
      <c r="F28" s="3" t="s">
        <v>51</v>
      </c>
    </row>
    <row r="29" spans="1:12" ht="39" customHeight="1" x14ac:dyDescent="0.25">
      <c r="A29" s="12">
        <v>20</v>
      </c>
      <c r="B29" s="20" t="s">
        <v>52</v>
      </c>
      <c r="C29" s="7">
        <v>0.3</v>
      </c>
      <c r="D29" s="7" t="s">
        <v>18</v>
      </c>
      <c r="E29" s="10"/>
      <c r="F29" s="3" t="s">
        <v>53</v>
      </c>
    </row>
    <row r="30" spans="1:12" ht="35.25" customHeight="1" x14ac:dyDescent="0.3">
      <c r="A30" s="12">
        <v>21</v>
      </c>
      <c r="B30" s="21" t="s">
        <v>54</v>
      </c>
      <c r="C30" s="7">
        <f>(C29*2)+(C21*3.05)</f>
        <v>0.6</v>
      </c>
      <c r="D30" s="7" t="s">
        <v>18</v>
      </c>
      <c r="E30" s="10"/>
      <c r="F30" s="3" t="s">
        <v>55</v>
      </c>
      <c r="H30" s="23"/>
    </row>
    <row r="31" spans="1:12" ht="37.5" customHeight="1" x14ac:dyDescent="0.25">
      <c r="A31" s="12">
        <v>22</v>
      </c>
      <c r="B31" s="21" t="s">
        <v>56</v>
      </c>
      <c r="C31" s="7">
        <f>C28*2</f>
        <v>0.6</v>
      </c>
      <c r="D31" s="7" t="s">
        <v>18</v>
      </c>
      <c r="E31" s="10"/>
      <c r="F31" s="3" t="str">
        <f>IF(C10&lt;=20,"This value represent the width of a trench. See cells below to have the total length, width and contact area of the system","This value represent the width of a trench.")</f>
        <v>This value represent the width of a trench. See cells below to have the total length, width and contact area of the system</v>
      </c>
      <c r="G31" s="18"/>
    </row>
    <row r="32" spans="1:12" ht="37.5" customHeight="1" x14ac:dyDescent="0.25">
      <c r="A32" s="12">
        <v>23</v>
      </c>
      <c r="B32" s="21" t="s">
        <v>57</v>
      </c>
      <c r="C32" s="7">
        <f>IF(OR(C30="",C31=""),"",C30*C31)</f>
        <v>0.36</v>
      </c>
      <c r="D32" s="6" t="s">
        <v>58</v>
      </c>
      <c r="E32" s="10"/>
      <c r="F32" s="3" t="s">
        <v>59</v>
      </c>
    </row>
    <row r="33" spans="1:7" ht="37.5" customHeight="1" x14ac:dyDescent="0.25">
      <c r="A33" s="12">
        <v>24</v>
      </c>
      <c r="B33" s="21" t="s">
        <v>60</v>
      </c>
      <c r="C33" s="7">
        <f>C30</f>
        <v>0.6</v>
      </c>
      <c r="D33" s="6" t="s">
        <v>18</v>
      </c>
      <c r="E33" s="10"/>
      <c r="F33" s="3" t="s">
        <v>61</v>
      </c>
    </row>
    <row r="34" spans="1:7" ht="37.5" customHeight="1" x14ac:dyDescent="0.25">
      <c r="A34" s="12">
        <v>25</v>
      </c>
      <c r="B34" s="21" t="s">
        <v>62</v>
      </c>
      <c r="C34" s="7" t="e">
        <f>((((C20/C22)-1)*C27)+(C28*2))</f>
        <v>#DIV/0!</v>
      </c>
      <c r="D34" s="6" t="s">
        <v>18</v>
      </c>
      <c r="E34" s="10"/>
      <c r="F34" s="3" t="s">
        <v>63</v>
      </c>
    </row>
    <row r="35" spans="1:7" ht="37.5" customHeight="1" x14ac:dyDescent="0.25">
      <c r="A35" s="12">
        <v>26</v>
      </c>
      <c r="B35" s="21" t="s">
        <v>64</v>
      </c>
      <c r="C35" s="7">
        <f>IF(C10&lt;20,0,C33*C34)</f>
        <v>0</v>
      </c>
      <c r="D35" s="6" t="s">
        <v>58</v>
      </c>
      <c r="E35" s="10"/>
      <c r="F35" s="3" t="str">
        <f>IF(C35=0,"Surface area not required","It is only to know the dimensions the system will be on the field.")</f>
        <v>Surface area not required</v>
      </c>
    </row>
    <row r="36" spans="1:7" ht="33" customHeight="1" x14ac:dyDescent="0.25">
      <c r="A36" s="12">
        <v>27</v>
      </c>
      <c r="B36" s="120" t="s">
        <v>65</v>
      </c>
      <c r="C36" s="7">
        <f>C35*C22</f>
        <v>0</v>
      </c>
      <c r="D36" s="6" t="s">
        <v>58</v>
      </c>
      <c r="E36" s="10"/>
      <c r="F36" s="3" t="str">
        <f>IF(C35=0,"Surface area not required","It is only to know the dimensions the system will be on the field.")</f>
        <v>Surface area not required</v>
      </c>
    </row>
    <row r="37" spans="1:7" ht="66" customHeight="1" x14ac:dyDescent="0.35">
      <c r="A37" s="12">
        <v>29</v>
      </c>
      <c r="B37" s="21" t="s">
        <v>66</v>
      </c>
      <c r="C37" s="8">
        <f>IF(C10&lt;=20,(C30*C31*0.7)*C20,C33*C34*C22*0.3)</f>
        <v>0</v>
      </c>
      <c r="D37" s="6" t="s">
        <v>67</v>
      </c>
      <c r="E37" s="156" t="s">
        <v>68</v>
      </c>
      <c r="F37" s="3" t="s">
        <v>69</v>
      </c>
      <c r="G37" s="13"/>
    </row>
    <row r="38" spans="1:7" ht="60.75" customHeight="1" x14ac:dyDescent="0.3">
      <c r="A38" s="12">
        <v>30</v>
      </c>
      <c r="B38" s="21" t="s">
        <v>70</v>
      </c>
      <c r="C38" s="8">
        <f>C16*C35</f>
        <v>0</v>
      </c>
      <c r="D38" s="6" t="s">
        <v>67</v>
      </c>
      <c r="E38" s="156" t="s">
        <v>68</v>
      </c>
      <c r="F38" s="3" t="s">
        <v>71</v>
      </c>
      <c r="G38" s="61"/>
    </row>
    <row r="39" spans="1:7" ht="38.25" customHeight="1" x14ac:dyDescent="0.25">
      <c r="A39" s="12">
        <v>32</v>
      </c>
      <c r="B39" s="201" t="s">
        <v>72</v>
      </c>
      <c r="C39" s="201"/>
      <c r="D39" s="201"/>
      <c r="E39" s="9" t="str">
        <f>IF(AND(E10="OK",E11="OK",E20="OK",E21="OK",E24="OK",E25="OK",E22="OK",E15="OK",E13="OK",E14="OK",E16="OK",E17="OK"),"OK","Check the configuration")</f>
        <v>Check the configuration</v>
      </c>
      <c r="F39" s="3" t="s">
        <v>73</v>
      </c>
    </row>
    <row r="40" spans="1:7" ht="16.2" customHeight="1" thickBot="1" x14ac:dyDescent="0.3">
      <c r="A40" s="17"/>
      <c r="B40" s="141"/>
      <c r="C40" s="141"/>
      <c r="D40" s="141"/>
      <c r="E40" s="139"/>
      <c r="F40" s="138"/>
    </row>
    <row r="41" spans="1:7" ht="38.25" customHeight="1" thickBot="1" x14ac:dyDescent="0.3">
      <c r="A41" s="17"/>
      <c r="B41" s="204" t="s">
        <v>74</v>
      </c>
      <c r="C41" s="205"/>
      <c r="D41" s="205"/>
      <c r="E41" s="206"/>
      <c r="F41" s="138"/>
    </row>
    <row r="42" spans="1:7" ht="38.25" customHeight="1" x14ac:dyDescent="0.35">
      <c r="A42" s="17"/>
      <c r="B42" s="147" t="s">
        <v>75</v>
      </c>
      <c r="C42" s="148" t="s">
        <v>76</v>
      </c>
      <c r="D42" s="148" t="s">
        <v>9</v>
      </c>
      <c r="E42" s="149" t="s">
        <v>77</v>
      </c>
      <c r="F42" s="138"/>
    </row>
    <row r="43" spans="1:7" ht="78" customHeight="1" x14ac:dyDescent="0.25">
      <c r="A43" s="17"/>
      <c r="B43" s="142" t="s">
        <v>78</v>
      </c>
      <c r="C43" s="187">
        <v>50</v>
      </c>
      <c r="D43" s="11" t="s">
        <v>79</v>
      </c>
      <c r="E43" s="143" t="s">
        <v>80</v>
      </c>
      <c r="F43" s="138"/>
    </row>
    <row r="44" spans="1:7" ht="38.25" customHeight="1" x14ac:dyDescent="0.25">
      <c r="A44" s="17"/>
      <c r="B44" s="142" t="s">
        <v>81</v>
      </c>
      <c r="C44" s="187">
        <v>50</v>
      </c>
      <c r="D44" s="11" t="s">
        <v>79</v>
      </c>
      <c r="E44" s="143" t="s">
        <v>82</v>
      </c>
      <c r="F44" s="138"/>
    </row>
    <row r="45" spans="1:7" ht="50.4" customHeight="1" x14ac:dyDescent="0.25">
      <c r="A45" s="17"/>
      <c r="B45" s="142" t="s">
        <v>83</v>
      </c>
      <c r="C45" s="187">
        <v>22</v>
      </c>
      <c r="D45" s="11" t="s">
        <v>18</v>
      </c>
      <c r="E45" s="143" t="s">
        <v>84</v>
      </c>
      <c r="F45" s="138"/>
    </row>
    <row r="46" spans="1:7" ht="67.95" customHeight="1" thickBot="1" x14ac:dyDescent="0.3">
      <c r="A46" s="17"/>
      <c r="B46" s="144" t="s">
        <v>85</v>
      </c>
      <c r="C46" s="187">
        <v>2</v>
      </c>
      <c r="D46" s="145" t="s">
        <v>18</v>
      </c>
      <c r="E46" s="146" t="s">
        <v>86</v>
      </c>
      <c r="F46" s="138"/>
    </row>
    <row r="47" spans="1:7" ht="39" customHeight="1" x14ac:dyDescent="0.25">
      <c r="A47" s="17" t="s">
        <v>87</v>
      </c>
      <c r="B47" s="200" t="s">
        <v>88</v>
      </c>
      <c r="C47" s="200"/>
      <c r="D47" s="200"/>
      <c r="E47" s="200"/>
      <c r="F47" s="200"/>
    </row>
    <row r="67" spans="2:3" hidden="1" x14ac:dyDescent="0.25"/>
    <row r="68" spans="2:3" hidden="1" x14ac:dyDescent="0.25">
      <c r="B68" s="68" t="s">
        <v>89</v>
      </c>
    </row>
    <row r="69" spans="2:3" hidden="1" x14ac:dyDescent="0.25">
      <c r="B69" s="68" t="s">
        <v>90</v>
      </c>
      <c r="C69" s="26" t="e">
        <f>C20/#REF!</f>
        <v>#REF!</v>
      </c>
    </row>
    <row r="70" spans="2:3" hidden="1" x14ac:dyDescent="0.25">
      <c r="B70" s="68" t="s">
        <v>91</v>
      </c>
      <c r="C70" s="26" t="e">
        <f>ROUNDUP(C69,0)</f>
        <v>#REF!</v>
      </c>
    </row>
    <row r="71" spans="2:3" hidden="1" x14ac:dyDescent="0.25">
      <c r="B71" s="68" t="s">
        <v>92</v>
      </c>
      <c r="C71" s="26" t="e">
        <f>C69-C70</f>
        <v>#REF!</v>
      </c>
    </row>
    <row r="72" spans="2:3" hidden="1" x14ac:dyDescent="0.25">
      <c r="B72" s="68" t="s">
        <v>93</v>
      </c>
      <c r="C72" s="26" t="e">
        <f>IF(C69-C70=0,"OK","Unballanced number of row per section - Change number of sections")</f>
        <v>#REF!</v>
      </c>
    </row>
    <row r="73" spans="2:3" hidden="1" x14ac:dyDescent="0.25"/>
    <row r="79" spans="2:3" ht="27.6" customHeight="1" x14ac:dyDescent="0.25"/>
    <row r="81" spans="2:3" ht="23.25" customHeight="1" x14ac:dyDescent="0.25">
      <c r="B81" s="68" t="s">
        <v>89</v>
      </c>
    </row>
    <row r="82" spans="2:3" ht="25.5" customHeight="1" x14ac:dyDescent="0.25">
      <c r="B82" s="68" t="s">
        <v>90</v>
      </c>
      <c r="C82" s="26" t="e">
        <f>C20/C22</f>
        <v>#DIV/0!</v>
      </c>
    </row>
    <row r="83" spans="2:3" ht="38.25" customHeight="1" x14ac:dyDescent="0.25">
      <c r="B83" s="68" t="s">
        <v>91</v>
      </c>
      <c r="C83" s="26" t="e">
        <f>ROUNDUP(C82,0)</f>
        <v>#DIV/0!</v>
      </c>
    </row>
    <row r="84" spans="2:3" ht="34.5" customHeight="1" x14ac:dyDescent="0.25">
      <c r="B84" s="68" t="s">
        <v>92</v>
      </c>
      <c r="C84" s="26" t="e">
        <f>C82-C83</f>
        <v>#DIV/0!</v>
      </c>
    </row>
    <row r="85" spans="2:3" ht="58.5" customHeight="1" x14ac:dyDescent="0.25">
      <c r="B85" s="68" t="s">
        <v>93</v>
      </c>
      <c r="C85" s="26" t="e">
        <f>IF(C82-C83=0,"OK","Unballanced number of row per section - Change number of sections")</f>
        <v>#DIV/0!</v>
      </c>
    </row>
  </sheetData>
  <sheetProtection algorithmName="SHA-512" hashValue="EfLlqbXc5pXv4G2ZT5fmte39qsP/wRsOdNflUi+/4epIyEXGZ5199g1fAyxLc9uzbNV/8vHsEY53BiYYCObZCg==" saltValue="Dkf8tO3eu6zqcqX5qKEFTw==" spinCount="100000" sheet="1" objects="1" scenarios="1"/>
  <protectedRanges>
    <protectedRange sqref="C10:C11 C13:C14 C16 C20:C22 C43:C46" name="modif elb"/>
  </protectedRanges>
  <mergeCells count="5">
    <mergeCell ref="B47:F47"/>
    <mergeCell ref="B39:D39"/>
    <mergeCell ref="C8:C9"/>
    <mergeCell ref="E8:E9"/>
    <mergeCell ref="B41:E41"/>
  </mergeCells>
  <phoneticPr fontId="4" type="noConversion"/>
  <dataValidations count="2">
    <dataValidation type="list" allowBlank="1" showInputMessage="1" showErrorMessage="1" sqref="C43" xr:uid="{3B91CC32-3C64-43E2-804F-940DF66042F8}">
      <formula1>"38,50"</formula1>
    </dataValidation>
    <dataValidation type="list" allowBlank="1" showInputMessage="1" showErrorMessage="1" sqref="C44" xr:uid="{F7F41E1F-7DD8-4D82-9A65-C36552D089DE}">
      <formula1>"38,50,75"</formula1>
    </dataValidation>
  </dataValidations>
  <printOptions horizontalCentered="1" verticalCentered="1"/>
  <pageMargins left="0.23622047244094491" right="0.23622047244094491" top="0.23622047244094491" bottom="0.55118110236220474" header="0.31496062992125984" footer="0.31496062992125984"/>
  <pageSetup scale="50" fitToHeight="2" orientation="landscape" r:id="rId1"/>
  <headerFooter alignWithMargins="0">
    <oddFooter>&amp;R&amp;14&amp;P/&amp;N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6"/>
  <sheetViews>
    <sheetView workbookViewId="0">
      <selection activeCell="D33" sqref="D33"/>
    </sheetView>
  </sheetViews>
  <sheetFormatPr defaultColWidth="11.5546875" defaultRowHeight="13.2" x14ac:dyDescent="0.25"/>
  <cols>
    <col min="2" max="2" width="13.44140625" customWidth="1"/>
    <col min="3" max="3" width="18.109375" customWidth="1"/>
  </cols>
  <sheetData>
    <row r="1" spans="2:8" x14ac:dyDescent="0.25">
      <c r="B1" s="45"/>
      <c r="C1" s="45" t="s">
        <v>94</v>
      </c>
      <c r="D1" s="45" t="s">
        <v>95</v>
      </c>
      <c r="E1" s="45" t="s">
        <v>96</v>
      </c>
      <c r="F1" s="45" t="s">
        <v>97</v>
      </c>
      <c r="G1" s="45" t="s">
        <v>98</v>
      </c>
      <c r="H1" s="45" t="s">
        <v>99</v>
      </c>
    </row>
    <row r="2" spans="2:8" x14ac:dyDescent="0.25">
      <c r="B2" s="45" t="s">
        <v>100</v>
      </c>
      <c r="C2" s="34">
        <f>'ESP Leaching Bed'!$C$11/75</f>
        <v>0</v>
      </c>
      <c r="D2" s="62">
        <f>(ROUNDUP('ESP Leaching Bed'!$C$11/126,0))*3.05</f>
        <v>0</v>
      </c>
      <c r="E2" s="52">
        <v>30</v>
      </c>
      <c r="F2" t="b">
        <f>IF('ESP Leaching Bed'!C10&lt;=20,TRUE,FALSE)</f>
        <v>1</v>
      </c>
      <c r="G2">
        <f>MAX(C2:E2)</f>
        <v>30</v>
      </c>
      <c r="H2" s="45" t="str">
        <f>IF(G2=D2,"Minimum system length = LAES","Minimum system length = Q/75")</f>
        <v>Minimum system length = Q/75</v>
      </c>
    </row>
    <row r="3" spans="2:8" x14ac:dyDescent="0.25">
      <c r="B3" s="45" t="s">
        <v>101</v>
      </c>
      <c r="C3" s="34">
        <f>'ESP Leaching Bed'!$C$11/50</f>
        <v>0</v>
      </c>
      <c r="D3" s="62">
        <f>(ROUNDUP('ESP Leaching Bed'!$C$11/126,0))*3.05</f>
        <v>0</v>
      </c>
      <c r="E3" s="52">
        <v>30</v>
      </c>
      <c r="F3" t="b">
        <f>IF(AND('ESP Leaching Bed'!C10&gt;20,'ESP Leaching Bed'!C10&lt;=50),TRUE,FALSE)</f>
        <v>0</v>
      </c>
      <c r="G3">
        <f>MAX(C3:E3)</f>
        <v>30</v>
      </c>
      <c r="H3" s="45" t="str">
        <f>IF(G3=D3,"Minimum system length = LAES","Minimum system length = Q/50")</f>
        <v>Minimum system length = Q/50</v>
      </c>
    </row>
    <row r="4" spans="2:8" x14ac:dyDescent="0.25">
      <c r="B4" s="45" t="s">
        <v>102</v>
      </c>
      <c r="C4" s="34">
        <f>'ESP Leaching Bed'!$C$11/30</f>
        <v>0</v>
      </c>
      <c r="D4" s="62">
        <f>(ROUNDUP('ESP Leaching Bed'!$C$11/126,0))*3.05</f>
        <v>0</v>
      </c>
      <c r="E4" s="52">
        <v>30</v>
      </c>
      <c r="F4" t="b">
        <f>IF(AND('ESP Leaching Bed'!C10&gt;50),TRUE,FALSE)</f>
        <v>0</v>
      </c>
      <c r="G4">
        <f>MAX(C4:E4)</f>
        <v>30</v>
      </c>
      <c r="H4" s="45" t="str">
        <f>IF(G4=D4,"Minimum system length = LAES","Minimum system length = Q/30")</f>
        <v>Minimum system length = Q/30</v>
      </c>
    </row>
    <row r="6" spans="2:8" x14ac:dyDescent="0.25">
      <c r="G6" s="36">
        <f>VLOOKUP(TRUE,F2:G4,2,FALSE)</f>
        <v>30</v>
      </c>
    </row>
    <row r="8" spans="2:8" x14ac:dyDescent="0.25">
      <c r="B8" s="207" t="s">
        <v>103</v>
      </c>
      <c r="C8" s="207"/>
    </row>
    <row r="9" spans="2:8" x14ac:dyDescent="0.25">
      <c r="B9" s="45" t="s">
        <v>104</v>
      </c>
      <c r="C9">
        <f>ROUNDUP('ESP Leaching Bed'!C11/126,0)</f>
        <v>0</v>
      </c>
    </row>
    <row r="10" spans="2:8" x14ac:dyDescent="0.25">
      <c r="B10" s="45" t="s">
        <v>105</v>
      </c>
      <c r="C10">
        <f>G6/3.05</f>
        <v>9.8360655737704921</v>
      </c>
    </row>
    <row r="12" spans="2:8" ht="13.8" x14ac:dyDescent="0.3">
      <c r="G12" s="46"/>
    </row>
    <row r="13" spans="2:8" x14ac:dyDescent="0.25">
      <c r="D13" s="45"/>
      <c r="E13" s="45"/>
      <c r="F13" s="45"/>
    </row>
    <row r="16" spans="2:8" x14ac:dyDescent="0.25">
      <c r="B16" s="207" t="s">
        <v>106</v>
      </c>
      <c r="C16" s="208"/>
      <c r="D16" s="208"/>
    </row>
    <row r="17" spans="2:10" x14ac:dyDescent="0.25">
      <c r="C17" s="45" t="s">
        <v>107</v>
      </c>
      <c r="D17" s="45" t="s">
        <v>108</v>
      </c>
    </row>
    <row r="18" spans="2:10" x14ac:dyDescent="0.25">
      <c r="B18" s="45" t="s">
        <v>107</v>
      </c>
      <c r="C18" s="45">
        <f>('ESP Leaching Bed'!C16*'ESP Leaching Bed'!C36)</f>
        <v>0</v>
      </c>
      <c r="D18" s="67"/>
    </row>
    <row r="19" spans="2:10" x14ac:dyDescent="0.25">
      <c r="B19" s="45" t="s">
        <v>109</v>
      </c>
      <c r="C19">
        <f>IF('ESP Leaching Bed'!C10&gt;20,('ESP Leaching Bed'!C34-('ESP Leaching Bed'!C31*'ESP Leaching Bed'!C20)*0.3),0)</f>
        <v>0</v>
      </c>
      <c r="D19">
        <f>IF(C19=0,0,0.3)</f>
        <v>0</v>
      </c>
    </row>
    <row r="20" spans="2:10" x14ac:dyDescent="0.25">
      <c r="B20" s="45" t="s">
        <v>110</v>
      </c>
      <c r="C20">
        <f>IF('ESP Leaching Bed'!C15=0,0.6*'ESP Leaching Bed'!C36,0)</f>
        <v>0</v>
      </c>
      <c r="D20">
        <f>IF(C20=0,0,0.6)</f>
        <v>0</v>
      </c>
    </row>
    <row r="21" spans="2:10" x14ac:dyDescent="0.25">
      <c r="J21" s="45" t="s">
        <v>111</v>
      </c>
    </row>
    <row r="22" spans="2:10" x14ac:dyDescent="0.25">
      <c r="B22" s="45" t="s">
        <v>112</v>
      </c>
      <c r="C22">
        <f>SUM(C18:C20)</f>
        <v>0</v>
      </c>
      <c r="D22">
        <f>SUM(D19:D20)</f>
        <v>0</v>
      </c>
    </row>
    <row r="25" spans="2:10" x14ac:dyDescent="0.25">
      <c r="B25" s="45"/>
      <c r="C25" s="45" t="s">
        <v>113</v>
      </c>
      <c r="D25" s="45" t="s">
        <v>114</v>
      </c>
    </row>
    <row r="26" spans="2:10" x14ac:dyDescent="0.25">
      <c r="C26">
        <f>0.7*'ESP Leaching Bed'!C27*'ESP Leaching Bed'!C30*('ESP Leaching Bed'!C20-1)</f>
        <v>-0.84</v>
      </c>
      <c r="D26">
        <f>0.4*'ESP Leaching Bed'!C27*'ESP Leaching Bed'!C30*('ESP Leaching Bed'!C20-1)</f>
        <v>-0.48</v>
      </c>
    </row>
  </sheetData>
  <mergeCells count="2">
    <mergeCell ref="B8:C8"/>
    <mergeCell ref="B16:D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2:AA123"/>
  <sheetViews>
    <sheetView zoomScale="70" zoomScaleNormal="70" workbookViewId="0">
      <selection activeCell="O95" sqref="O95:O96"/>
    </sheetView>
  </sheetViews>
  <sheetFormatPr defaultColWidth="11.5546875" defaultRowHeight="13.2" x14ac:dyDescent="0.25"/>
  <cols>
    <col min="1" max="1" width="8.33203125" style="1" customWidth="1"/>
    <col min="2" max="2" width="13.6640625" style="1" customWidth="1"/>
    <col min="3" max="3" width="13.6640625" style="1" bestFit="1" customWidth="1"/>
    <col min="4" max="8" width="11.5546875" style="1"/>
    <col min="9" max="9" width="12.5546875" style="1" customWidth="1"/>
    <col min="10" max="10" width="9.44140625" style="1" customWidth="1"/>
    <col min="11" max="12" width="11.5546875" style="1"/>
    <col min="13" max="14" width="14" style="1" customWidth="1"/>
    <col min="15" max="15" width="14.6640625" style="1" customWidth="1"/>
    <col min="16" max="16384" width="11.5546875" style="1"/>
  </cols>
  <sheetData>
    <row r="12" spans="2:15" ht="17.399999999999999" x14ac:dyDescent="0.3">
      <c r="B12" s="267" t="s">
        <v>115</v>
      </c>
      <c r="C12" s="267"/>
      <c r="D12" s="268">
        <f>'ESP Leaching Bed'!C5</f>
        <v>0</v>
      </c>
      <c r="E12" s="268"/>
      <c r="F12" s="268"/>
      <c r="G12" s="268"/>
      <c r="H12" s="268"/>
      <c r="I12" s="268"/>
      <c r="J12" s="268"/>
      <c r="K12" s="268"/>
      <c r="L12" s="268"/>
      <c r="M12" s="268"/>
      <c r="N12" s="268"/>
      <c r="O12" s="268"/>
    </row>
    <row r="13" spans="2:15" ht="17.399999999999999" x14ac:dyDescent="0.3">
      <c r="B13" s="267" t="s">
        <v>116</v>
      </c>
      <c r="C13" s="267"/>
      <c r="D13" s="268">
        <f>'ESP Leaching Bed'!C6</f>
        <v>0</v>
      </c>
      <c r="E13" s="268"/>
      <c r="F13" s="268"/>
      <c r="G13" s="268"/>
      <c r="H13" s="268"/>
      <c r="I13" s="268"/>
      <c r="J13" s="268"/>
      <c r="K13" s="268"/>
      <c r="L13" s="267" t="s">
        <v>117</v>
      </c>
      <c r="M13" s="267"/>
      <c r="N13" s="269">
        <f ca="1">TODAY()</f>
        <v>45721</v>
      </c>
      <c r="O13" s="209"/>
    </row>
    <row r="14" spans="2:15" ht="17.399999999999999" x14ac:dyDescent="0.3">
      <c r="F14" s="23"/>
    </row>
    <row r="15" spans="2:15" ht="42.75" customHeight="1" x14ac:dyDescent="0.3">
      <c r="B15" s="267" t="s">
        <v>118</v>
      </c>
      <c r="C15" s="267"/>
      <c r="D15" s="267"/>
      <c r="E15" s="267"/>
      <c r="F15" s="209" t="s">
        <v>76</v>
      </c>
      <c r="G15" s="209"/>
      <c r="H15" s="209"/>
      <c r="I15" s="22" t="s">
        <v>9</v>
      </c>
      <c r="K15" s="270" t="s">
        <v>119</v>
      </c>
      <c r="L15" s="271"/>
      <c r="M15" s="271"/>
      <c r="N15" s="271"/>
      <c r="O15" s="272"/>
    </row>
    <row r="16" spans="2:15" ht="21" customHeight="1" x14ac:dyDescent="0.4">
      <c r="B16" s="273" t="s">
        <v>11</v>
      </c>
      <c r="C16" s="273"/>
      <c r="D16" s="273"/>
      <c r="E16" s="273"/>
      <c r="F16" s="209">
        <f>'ESP Leaching Bed'!C10</f>
        <v>0</v>
      </c>
      <c r="G16" s="209"/>
      <c r="H16" s="209"/>
      <c r="I16" s="22" t="s">
        <v>12</v>
      </c>
      <c r="K16" s="24" t="s">
        <v>120</v>
      </c>
      <c r="L16" s="210" t="s">
        <v>121</v>
      </c>
      <c r="M16" s="211"/>
      <c r="N16" s="211"/>
      <c r="O16" s="212"/>
    </row>
    <row r="17" spans="2:27" ht="21" customHeight="1" x14ac:dyDescent="0.4">
      <c r="B17" s="222" t="s">
        <v>122</v>
      </c>
      <c r="C17" s="223"/>
      <c r="D17" s="223"/>
      <c r="E17" s="224"/>
      <c r="F17" s="274">
        <f>'ESP Leaching Bed'!C11</f>
        <v>0</v>
      </c>
      <c r="G17" s="209"/>
      <c r="H17" s="209"/>
      <c r="I17" s="22" t="s">
        <v>15</v>
      </c>
      <c r="K17" s="24" t="s">
        <v>123</v>
      </c>
      <c r="L17" s="210" t="s">
        <v>124</v>
      </c>
      <c r="M17" s="211"/>
      <c r="N17" s="211"/>
      <c r="O17" s="212"/>
      <c r="T17" s="18"/>
      <c r="U17" s="56"/>
      <c r="V17" s="56"/>
      <c r="W17" s="56"/>
      <c r="X17" s="56"/>
    </row>
    <row r="18" spans="2:27" ht="21" customHeight="1" x14ac:dyDescent="0.4">
      <c r="B18" s="267" t="s">
        <v>125</v>
      </c>
      <c r="C18" s="267"/>
      <c r="D18" s="267"/>
      <c r="E18" s="267"/>
      <c r="F18" s="209" t="e">
        <f>'ESP Leaching Bed'!C20/'ESP Leaching Bed'!C22</f>
        <v>#DIV/0!</v>
      </c>
      <c r="G18" s="209"/>
      <c r="H18" s="209"/>
      <c r="I18" s="22" t="s">
        <v>126</v>
      </c>
      <c r="K18" s="24" t="s">
        <v>127</v>
      </c>
      <c r="L18" s="210" t="s">
        <v>128</v>
      </c>
      <c r="M18" s="211"/>
      <c r="N18" s="211"/>
      <c r="O18" s="212"/>
      <c r="T18" s="18"/>
      <c r="U18" s="56"/>
      <c r="V18" s="56"/>
      <c r="W18" s="56"/>
      <c r="X18" s="56"/>
    </row>
    <row r="19" spans="2:27" ht="21" customHeight="1" x14ac:dyDescent="0.4">
      <c r="B19" s="267" t="s">
        <v>129</v>
      </c>
      <c r="C19" s="267"/>
      <c r="D19" s="267"/>
      <c r="E19" s="267"/>
      <c r="F19" s="209">
        <f>'ESP Leaching Bed'!C21</f>
        <v>0</v>
      </c>
      <c r="G19" s="209"/>
      <c r="H19" s="209"/>
      <c r="I19" s="22" t="s">
        <v>32</v>
      </c>
      <c r="K19" s="24" t="s">
        <v>130</v>
      </c>
      <c r="L19" s="210" t="s">
        <v>131</v>
      </c>
      <c r="M19" s="211"/>
      <c r="N19" s="211"/>
      <c r="O19" s="212"/>
    </row>
    <row r="20" spans="2:27" ht="21" customHeight="1" x14ac:dyDescent="0.3">
      <c r="B20" s="267" t="s">
        <v>132</v>
      </c>
      <c r="C20" s="267"/>
      <c r="D20" s="267"/>
      <c r="E20" s="267"/>
      <c r="F20" s="209">
        <f>'ESP Leaching Bed'!C22</f>
        <v>0</v>
      </c>
      <c r="G20" s="209"/>
      <c r="H20" s="209"/>
      <c r="I20" s="22" t="s">
        <v>40</v>
      </c>
      <c r="K20" s="24" t="s">
        <v>133</v>
      </c>
      <c r="L20" s="210" t="s">
        <v>134</v>
      </c>
      <c r="M20" s="211"/>
      <c r="N20" s="211"/>
      <c r="O20" s="212"/>
      <c r="R20" s="18"/>
      <c r="S20" s="56"/>
      <c r="T20" s="56"/>
      <c r="U20" s="56"/>
      <c r="V20" s="56"/>
      <c r="W20" s="23"/>
      <c r="X20" s="23"/>
      <c r="Y20" s="23"/>
      <c r="Z20" s="23"/>
      <c r="AA20" s="54"/>
    </row>
    <row r="21" spans="2:27" ht="21" customHeight="1" x14ac:dyDescent="0.3">
      <c r="B21" s="267" t="s">
        <v>43</v>
      </c>
      <c r="C21" s="267"/>
      <c r="D21" s="267"/>
      <c r="E21" s="267"/>
      <c r="F21" s="209" t="str">
        <f>'ESP Leaching Bed'!C23</f>
        <v/>
      </c>
      <c r="G21" s="209"/>
      <c r="H21" s="209"/>
      <c r="I21" s="22" t="s">
        <v>32</v>
      </c>
      <c r="K21" s="24" t="s">
        <v>135</v>
      </c>
      <c r="L21" s="210" t="s">
        <v>136</v>
      </c>
      <c r="M21" s="211"/>
      <c r="N21" s="211"/>
      <c r="O21" s="212"/>
    </row>
    <row r="22" spans="2:27" ht="21" customHeight="1" x14ac:dyDescent="0.3">
      <c r="B22" s="261" t="s">
        <v>137</v>
      </c>
      <c r="C22" s="262"/>
      <c r="D22" s="262"/>
      <c r="E22" s="263"/>
      <c r="F22" s="264">
        <f>'ESP Leaching Bed'!C30</f>
        <v>0.6</v>
      </c>
      <c r="G22" s="265"/>
      <c r="H22" s="266"/>
      <c r="I22" s="22" t="s">
        <v>18</v>
      </c>
      <c r="K22" s="24" t="s">
        <v>138</v>
      </c>
      <c r="L22" s="210" t="s">
        <v>139</v>
      </c>
      <c r="M22" s="211"/>
      <c r="N22" s="211"/>
      <c r="O22" s="212"/>
    </row>
    <row r="23" spans="2:27" ht="21" customHeight="1" x14ac:dyDescent="0.3">
      <c r="B23" s="261" t="s">
        <v>140</v>
      </c>
      <c r="C23" s="262"/>
      <c r="D23" s="262"/>
      <c r="E23" s="263"/>
      <c r="F23" s="264">
        <f>'ESP Leaching Bed'!C31</f>
        <v>0.6</v>
      </c>
      <c r="G23" s="265"/>
      <c r="H23" s="266"/>
      <c r="I23" s="22" t="s">
        <v>18</v>
      </c>
      <c r="K23" s="24" t="s">
        <v>141</v>
      </c>
      <c r="L23" s="210" t="s">
        <v>142</v>
      </c>
      <c r="M23" s="211"/>
      <c r="N23" s="211"/>
      <c r="O23" s="212"/>
      <c r="T23" s="18"/>
      <c r="U23" s="56"/>
      <c r="V23" s="56"/>
      <c r="W23" s="56"/>
      <c r="X23" s="56"/>
    </row>
    <row r="24" spans="2:27" ht="21" customHeight="1" x14ac:dyDescent="0.4">
      <c r="B24" s="261" t="s">
        <v>143</v>
      </c>
      <c r="C24" s="262"/>
      <c r="D24" s="262"/>
      <c r="E24" s="263"/>
      <c r="F24" s="264">
        <f>'ESP Leaching Bed'!C32</f>
        <v>0.36</v>
      </c>
      <c r="G24" s="265"/>
      <c r="H24" s="266"/>
      <c r="I24" s="22" t="s">
        <v>144</v>
      </c>
      <c r="K24" s="24" t="s">
        <v>145</v>
      </c>
      <c r="L24" s="210" t="s">
        <v>146</v>
      </c>
      <c r="M24" s="211"/>
      <c r="N24" s="211"/>
      <c r="O24" s="212"/>
    </row>
    <row r="25" spans="2:27" ht="36" customHeight="1" x14ac:dyDescent="0.4">
      <c r="B25" s="261" t="s">
        <v>147</v>
      </c>
      <c r="C25" s="262"/>
      <c r="D25" s="262"/>
      <c r="E25" s="263"/>
      <c r="F25" s="264">
        <f>'ESP Leaching Bed'!C33</f>
        <v>0.6</v>
      </c>
      <c r="G25" s="265"/>
      <c r="H25" s="266"/>
      <c r="I25" s="22" t="s">
        <v>18</v>
      </c>
      <c r="K25" s="24" t="s">
        <v>148</v>
      </c>
      <c r="L25" s="227" t="s">
        <v>149</v>
      </c>
      <c r="M25" s="228"/>
      <c r="N25" s="228"/>
      <c r="O25" s="229"/>
    </row>
    <row r="26" spans="2:27" ht="30" customHeight="1" x14ac:dyDescent="0.3">
      <c r="B26" s="261" t="s">
        <v>150</v>
      </c>
      <c r="C26" s="262"/>
      <c r="D26" s="262"/>
      <c r="E26" s="263"/>
      <c r="F26" s="264" t="e">
        <f>'ESP Leaching Bed'!C34</f>
        <v>#DIV/0!</v>
      </c>
      <c r="G26" s="265"/>
      <c r="H26" s="266"/>
      <c r="I26" s="22" t="s">
        <v>18</v>
      </c>
    </row>
    <row r="27" spans="2:27" ht="31.5" customHeight="1" x14ac:dyDescent="0.3">
      <c r="B27" s="261" t="s">
        <v>65</v>
      </c>
      <c r="C27" s="262"/>
      <c r="D27" s="262"/>
      <c r="E27" s="263"/>
      <c r="F27" s="219" t="e">
        <f>F25*F26</f>
        <v>#DIV/0!</v>
      </c>
      <c r="G27" s="220"/>
      <c r="H27" s="221"/>
      <c r="I27" s="22" t="s">
        <v>144</v>
      </c>
    </row>
    <row r="28" spans="2:27" ht="39.75" customHeight="1" x14ac:dyDescent="0.3">
      <c r="B28" s="222" t="s">
        <v>151</v>
      </c>
      <c r="C28" s="223"/>
      <c r="D28" s="223"/>
      <c r="E28" s="224"/>
      <c r="F28" s="219">
        <f>'ESP Leaching Bed'!C37</f>
        <v>0</v>
      </c>
      <c r="G28" s="220"/>
      <c r="H28" s="221"/>
      <c r="I28" s="22" t="s">
        <v>152</v>
      </c>
    </row>
    <row r="29" spans="2:27" ht="39.75" customHeight="1" x14ac:dyDescent="0.3">
      <c r="B29" s="222" t="s">
        <v>153</v>
      </c>
      <c r="C29" s="223"/>
      <c r="D29" s="223"/>
      <c r="E29" s="224"/>
      <c r="F29" s="219">
        <f>'ESP Leaching Bed'!C38</f>
        <v>0</v>
      </c>
      <c r="G29" s="220"/>
      <c r="H29" s="221"/>
      <c r="I29" s="22" t="s">
        <v>152</v>
      </c>
    </row>
    <row r="30" spans="2:27" ht="32.25" customHeight="1" x14ac:dyDescent="0.45">
      <c r="B30" s="117" t="s">
        <v>154</v>
      </c>
      <c r="C30" s="118"/>
      <c r="D30" s="118"/>
      <c r="E30" s="119">
        <f>F20</f>
        <v>0</v>
      </c>
    </row>
    <row r="33" spans="1:16" ht="22.8" x14ac:dyDescent="0.4">
      <c r="C33" s="25" t="s">
        <v>155</v>
      </c>
    </row>
    <row r="34" spans="1:16" ht="15" x14ac:dyDescent="0.25">
      <c r="G34" s="18" t="s">
        <v>156</v>
      </c>
    </row>
    <row r="36" spans="1:16" ht="12.75" customHeight="1" x14ac:dyDescent="0.25">
      <c r="C36" s="230" t="s">
        <v>157</v>
      </c>
      <c r="D36" s="243" t="str">
        <f>'ESP Leaching Bed'!C29&amp;" m - "&amp;'ESP Leaching Bed'!C29*3.28&amp;" ft"</f>
        <v>0,3 m - 0,984 ft</v>
      </c>
      <c r="E36" s="244"/>
      <c r="G36" s="230" t="s">
        <v>158</v>
      </c>
      <c r="H36" s="243" t="str">
        <f>F19*3.01&amp;" m - "&amp;ROUND(F19*3.01*3.28,2)&amp;" ft"</f>
        <v>0 m - 0 ft</v>
      </c>
      <c r="I36" s="244"/>
    </row>
    <row r="37" spans="1:16" ht="12.75" customHeight="1" x14ac:dyDescent="0.25">
      <c r="C37" s="231"/>
      <c r="D37" s="245"/>
      <c r="E37" s="246"/>
      <c r="G37" s="231"/>
      <c r="H37" s="245"/>
      <c r="I37" s="246"/>
    </row>
    <row r="39" spans="1:16" ht="17.399999999999999" x14ac:dyDescent="0.3">
      <c r="N39" s="23"/>
      <c r="O39" s="23"/>
    </row>
    <row r="40" spans="1:16" ht="13.2" customHeight="1" x14ac:dyDescent="0.25">
      <c r="N40" s="30"/>
    </row>
    <row r="41" spans="1:16" ht="17.399999999999999" customHeight="1" x14ac:dyDescent="0.25"/>
    <row r="42" spans="1:16" ht="12.75" customHeight="1" thickBot="1" x14ac:dyDescent="0.3"/>
    <row r="43" spans="1:16" ht="12.75" customHeight="1" thickBot="1" x14ac:dyDescent="0.3">
      <c r="N43" s="180" t="s">
        <v>159</v>
      </c>
      <c r="O43" s="181" t="e">
        <f>F18</f>
        <v>#DIV/0!</v>
      </c>
    </row>
    <row r="44" spans="1:16" ht="14.4" thickBot="1" x14ac:dyDescent="0.3">
      <c r="N44" s="179" t="s">
        <v>160</v>
      </c>
      <c r="O44" s="182">
        <f>F19</f>
        <v>0</v>
      </c>
    </row>
    <row r="45" spans="1:16" x14ac:dyDescent="0.25">
      <c r="N45" s="30"/>
    </row>
    <row r="46" spans="1:16" ht="12.75" customHeight="1" x14ac:dyDescent="0.3">
      <c r="A46" s="225" t="s">
        <v>161</v>
      </c>
      <c r="B46" s="259" t="str">
        <f>'ESP Leaching Bed'!C27&amp;" m"</f>
        <v>2 m</v>
      </c>
      <c r="N46" s="255" t="s">
        <v>162</v>
      </c>
      <c r="O46" s="218" t="str">
        <f>'ESP Leaching Bed'!C31&amp;" m"</f>
        <v>0,6 m</v>
      </c>
      <c r="P46" s="44"/>
    </row>
    <row r="47" spans="1:16" ht="12.75" customHeight="1" x14ac:dyDescent="0.3">
      <c r="A47" s="256"/>
      <c r="B47" s="260"/>
      <c r="N47" s="255"/>
      <c r="O47" s="218"/>
      <c r="P47" s="44"/>
    </row>
    <row r="48" spans="1:16" ht="13.2" customHeight="1" x14ac:dyDescent="0.25">
      <c r="A48" s="256"/>
      <c r="B48" s="257" t="str">
        <f>ROUND('ESP Leaching Bed'!C27*3.28,1)&amp;" ft"</f>
        <v>6,6 ft</v>
      </c>
      <c r="N48" s="255"/>
      <c r="O48" s="209" t="str">
        <f>ROUND('ESP Leaching Bed'!C31*3.28,1)&amp;" ft"</f>
        <v>2 ft</v>
      </c>
    </row>
    <row r="49" spans="1:19" ht="13.2" customHeight="1" x14ac:dyDescent="0.25">
      <c r="A49" s="226"/>
      <c r="B49" s="258"/>
      <c r="N49" s="255"/>
      <c r="O49" s="209"/>
    </row>
    <row r="51" spans="1:19" ht="13.2" customHeight="1" x14ac:dyDescent="0.3">
      <c r="Q51" s="44"/>
    </row>
    <row r="52" spans="1:19" ht="12.75" customHeight="1" x14ac:dyDescent="0.3">
      <c r="P52" s="44"/>
      <c r="Q52" s="44"/>
    </row>
    <row r="53" spans="1:19" ht="12.75" customHeight="1" x14ac:dyDescent="0.25"/>
    <row r="54" spans="1:19" ht="12.75" customHeight="1" x14ac:dyDescent="0.25">
      <c r="N54" s="213" t="s">
        <v>163</v>
      </c>
      <c r="O54" s="216" t="e">
        <f>ROUND('ESP Leaching Bed'!C34,2)&amp;" m"</f>
        <v>#DIV/0!</v>
      </c>
      <c r="Q54" s="68"/>
    </row>
    <row r="55" spans="1:19" ht="13.2" customHeight="1" x14ac:dyDescent="0.25">
      <c r="N55" s="214"/>
      <c r="O55" s="217"/>
    </row>
    <row r="56" spans="1:19" ht="13.2" customHeight="1" x14ac:dyDescent="0.25">
      <c r="N56" s="214"/>
      <c r="O56" s="225" t="e">
        <f>ROUND('ESP Leaching Bed'!C34*3.28,1)&amp;" ft"</f>
        <v>#DIV/0!</v>
      </c>
    </row>
    <row r="57" spans="1:19" ht="12.75" customHeight="1" x14ac:dyDescent="0.25">
      <c r="N57" s="215"/>
      <c r="O57" s="226"/>
    </row>
    <row r="58" spans="1:19" ht="12.75" customHeight="1" x14ac:dyDescent="0.3">
      <c r="A58" s="225" t="s">
        <v>164</v>
      </c>
      <c r="B58" s="257" t="str">
        <f>'ESP Leaching Bed'!C28&amp;" m"</f>
        <v>0,3 m</v>
      </c>
      <c r="C58" s="44"/>
      <c r="S58" s="35"/>
    </row>
    <row r="59" spans="1:19" ht="19.95" customHeight="1" x14ac:dyDescent="0.25">
      <c r="A59" s="256"/>
      <c r="B59" s="258"/>
    </row>
    <row r="60" spans="1:19" ht="12.75" customHeight="1" x14ac:dyDescent="0.25">
      <c r="A60" s="256"/>
      <c r="B60" s="259" t="str">
        <f>ROUND('ESP Leaching Bed'!C28*3.28,2)&amp;" m"</f>
        <v>0,98 m</v>
      </c>
    </row>
    <row r="61" spans="1:19" ht="17.399999999999999" x14ac:dyDescent="0.3">
      <c r="A61" s="226"/>
      <c r="B61" s="260"/>
      <c r="C61" s="44"/>
    </row>
    <row r="62" spans="1:19" ht="12.75" customHeight="1" x14ac:dyDescent="0.3">
      <c r="C62" s="44"/>
    </row>
    <row r="63" spans="1:19" ht="13.2" customHeight="1" x14ac:dyDescent="0.25"/>
    <row r="64" spans="1:19" ht="20.25" customHeight="1" x14ac:dyDescent="0.35">
      <c r="G64" s="26"/>
      <c r="H64" s="27"/>
    </row>
    <row r="65" spans="1:16" ht="8.25" customHeight="1" x14ac:dyDescent="0.25">
      <c r="G65" s="209" t="s">
        <v>165</v>
      </c>
      <c r="H65" s="209"/>
      <c r="I65" s="218" t="str">
        <f>ROUND('ESP Leaching Bed'!C30,2)&amp;" m - "&amp;ROUND('ESP Leaching Bed'!C30*3.28,2)&amp;" ft"</f>
        <v>0.6 m - 1.97 ft</v>
      </c>
      <c r="J65" s="218"/>
      <c r="K65" s="218"/>
    </row>
    <row r="66" spans="1:16" ht="24" customHeight="1" x14ac:dyDescent="0.25">
      <c r="G66" s="209"/>
      <c r="H66" s="209"/>
      <c r="I66" s="218"/>
      <c r="J66" s="218"/>
      <c r="K66" s="218"/>
    </row>
    <row r="67" spans="1:16" ht="33" customHeight="1" x14ac:dyDescent="0.25"/>
    <row r="68" spans="1:16" ht="22.8" x14ac:dyDescent="0.4">
      <c r="C68" s="25" t="s">
        <v>166</v>
      </c>
      <c r="L68" s="18"/>
    </row>
    <row r="69" spans="1:16" ht="14.25" customHeight="1" x14ac:dyDescent="0.4">
      <c r="C69" s="25"/>
      <c r="L69" s="18"/>
    </row>
    <row r="70" spans="1:16" ht="17.25" customHeight="1" x14ac:dyDescent="0.4">
      <c r="C70" s="25"/>
      <c r="G70" s="18" t="s">
        <v>156</v>
      </c>
      <c r="N70" s="31"/>
    </row>
    <row r="71" spans="1:16" ht="14.25" customHeight="1" x14ac:dyDescent="0.4">
      <c r="C71" s="25"/>
      <c r="E71" s="32"/>
      <c r="G71" s="18"/>
      <c r="L71" s="18"/>
    </row>
    <row r="72" spans="1:16" ht="14.25" customHeight="1" x14ac:dyDescent="0.4">
      <c r="C72" s="25"/>
      <c r="L72" s="18"/>
    </row>
    <row r="74" spans="1:16" ht="13.2" customHeight="1" x14ac:dyDescent="0.3">
      <c r="D74" s="230" t="s">
        <v>167</v>
      </c>
      <c r="E74" s="243" t="str">
        <f>'ESP Leaching Bed'!C28&amp;" m - "&amp;'ESP Leaching Bed'!C28*3.28&amp;" ft"</f>
        <v>0,3 m - 0,984 ft</v>
      </c>
      <c r="F74" s="244"/>
      <c r="H74" s="230" t="s">
        <v>161</v>
      </c>
      <c r="I74" s="243" t="str">
        <f>'ESP Leaching Bed'!C27&amp;" m - "&amp;'ESP Leaching Bed'!C27*3.28&amp;" ft"</f>
        <v>2 m - 6,56 ft</v>
      </c>
      <c r="J74" s="244"/>
      <c r="K74" s="23"/>
      <c r="L74" s="44"/>
      <c r="M74" s="44"/>
    </row>
    <row r="75" spans="1:16" ht="13.2" customHeight="1" x14ac:dyDescent="0.3">
      <c r="D75" s="231"/>
      <c r="E75" s="245"/>
      <c r="F75" s="246"/>
      <c r="H75" s="231"/>
      <c r="I75" s="245"/>
      <c r="J75" s="246"/>
      <c r="K75" s="23"/>
      <c r="L75" s="44"/>
      <c r="M75" s="44"/>
    </row>
    <row r="77" spans="1:16" ht="12.75" customHeight="1" x14ac:dyDescent="0.3">
      <c r="N77" s="55"/>
      <c r="O77" s="44"/>
      <c r="P77" s="44"/>
    </row>
    <row r="78" spans="1:16" ht="12.75" customHeight="1" x14ac:dyDescent="0.3">
      <c r="N78" s="55"/>
      <c r="O78" s="44"/>
      <c r="P78" s="44"/>
    </row>
    <row r="79" spans="1:16" ht="12.75" customHeight="1" x14ac:dyDescent="0.3">
      <c r="A79" s="237" t="s">
        <v>168</v>
      </c>
      <c r="B79" s="238"/>
      <c r="N79" s="55"/>
      <c r="O79" s="23"/>
    </row>
    <row r="80" spans="1:16" ht="12.75" customHeight="1" x14ac:dyDescent="0.3">
      <c r="A80" s="239"/>
      <c r="B80" s="240"/>
      <c r="N80" s="55"/>
      <c r="O80" s="23"/>
    </row>
    <row r="81" spans="1:16" ht="12.75" customHeight="1" x14ac:dyDescent="0.25">
      <c r="A81" s="239"/>
      <c r="B81" s="240"/>
    </row>
    <row r="82" spans="1:16" ht="13.2" customHeight="1" x14ac:dyDescent="0.25">
      <c r="A82" s="241"/>
      <c r="B82" s="242"/>
      <c r="N82" s="233" t="s">
        <v>169</v>
      </c>
      <c r="O82" s="234"/>
    </row>
    <row r="83" spans="1:16" ht="13.2" customHeight="1" x14ac:dyDescent="0.25">
      <c r="N83" s="235"/>
      <c r="O83" s="236"/>
    </row>
    <row r="84" spans="1:16" ht="12.75" customHeight="1" x14ac:dyDescent="0.25">
      <c r="A84" s="55"/>
      <c r="B84" s="55"/>
    </row>
    <row r="85" spans="1:16" ht="12.75" customHeight="1" x14ac:dyDescent="0.25">
      <c r="A85" s="55"/>
      <c r="B85" s="55"/>
      <c r="N85" s="247" t="str">
        <f>0.3 &amp;" m"</f>
        <v>0,3 m</v>
      </c>
      <c r="O85" s="248"/>
    </row>
    <row r="86" spans="1:16" ht="12.75" customHeight="1" x14ac:dyDescent="0.25">
      <c r="A86" s="55"/>
      <c r="B86" s="55"/>
      <c r="N86" s="249"/>
      <c r="O86" s="250"/>
    </row>
    <row r="87" spans="1:16" ht="12.75" customHeight="1" x14ac:dyDescent="0.25">
      <c r="A87" s="55"/>
      <c r="B87" s="55"/>
      <c r="N87" s="251" t="str">
        <f>ROUND(0.3*3.28,2)&amp;" ft"</f>
        <v>0,98 ft</v>
      </c>
      <c r="O87" s="252"/>
    </row>
    <row r="88" spans="1:16" ht="12.75" customHeight="1" x14ac:dyDescent="0.25">
      <c r="N88" s="253"/>
      <c r="O88" s="254"/>
    </row>
    <row r="90" spans="1:16" ht="13.2" customHeight="1" x14ac:dyDescent="0.25">
      <c r="A90" s="255" t="s">
        <v>170</v>
      </c>
      <c r="B90" s="209" t="str">
        <f>'ESP Leaching Bed'!C17&amp;" m"</f>
        <v>0,7 m</v>
      </c>
      <c r="N90" s="209" t="s">
        <v>171</v>
      </c>
      <c r="O90" s="209" t="str">
        <f>'ESP Leaching Bed'!C16&amp;" m"</f>
        <v>0 m</v>
      </c>
    </row>
    <row r="91" spans="1:16" ht="13.2" customHeight="1" x14ac:dyDescent="0.25">
      <c r="A91" s="255"/>
      <c r="B91" s="209"/>
      <c r="N91" s="209"/>
      <c r="O91" s="209"/>
    </row>
    <row r="92" spans="1:16" ht="12.75" customHeight="1" x14ac:dyDescent="0.25">
      <c r="A92" s="255"/>
      <c r="B92" s="209" t="str">
        <f>ROUND('ESP Leaching Bed'!C17*3.28,2)&amp;" ft"</f>
        <v>2,3 ft</v>
      </c>
      <c r="N92" s="209"/>
      <c r="O92" s="209" t="str">
        <f>ROUND('ESP Leaching Bed'!C16*3.28,2)&amp;" ft"</f>
        <v>0 ft</v>
      </c>
    </row>
    <row r="93" spans="1:16" ht="12.75" customHeight="1" x14ac:dyDescent="0.25">
      <c r="A93" s="255"/>
      <c r="B93" s="209"/>
      <c r="N93" s="209"/>
      <c r="O93" s="209"/>
    </row>
    <row r="94" spans="1:16" ht="19.95" customHeight="1" x14ac:dyDescent="0.25"/>
    <row r="95" spans="1:16" ht="12.75" customHeight="1" x14ac:dyDescent="0.25">
      <c r="N95" s="225" t="s">
        <v>172</v>
      </c>
      <c r="O95" s="216" t="str">
        <f>'ESP Leaching Bed'!C15&amp;" m"</f>
        <v>0,7 m</v>
      </c>
    </row>
    <row r="96" spans="1:16" ht="16.95" customHeight="1" x14ac:dyDescent="0.3">
      <c r="N96" s="256"/>
      <c r="O96" s="217"/>
      <c r="P96" s="44"/>
    </row>
    <row r="97" spans="1:17" ht="13.2" customHeight="1" x14ac:dyDescent="0.3">
      <c r="N97" s="256"/>
      <c r="O97" s="225" t="str">
        <f>ROUNDUP('ESP Leaching Bed'!C15*3.28,2)&amp;" ft"</f>
        <v>2,3 ft</v>
      </c>
      <c r="P97" s="44"/>
    </row>
    <row r="98" spans="1:17" ht="13.2" customHeight="1" x14ac:dyDescent="0.35">
      <c r="D98" s="225" t="s">
        <v>173</v>
      </c>
      <c r="E98" s="251" t="str">
        <f>'ESP Leaching Bed'!C28*2&amp;" m"</f>
        <v>0,6 m</v>
      </c>
      <c r="F98" s="252"/>
      <c r="I98" s="225" t="s">
        <v>174</v>
      </c>
      <c r="J98" s="251" t="e">
        <f>ROUND('ESP Leaching Bed'!C34,2)&amp;" m"</f>
        <v>#DIV/0!</v>
      </c>
      <c r="K98" s="252"/>
      <c r="N98" s="226"/>
      <c r="O98" s="226"/>
      <c r="Q98" s="43"/>
    </row>
    <row r="99" spans="1:17" ht="13.2" customHeight="1" x14ac:dyDescent="0.35">
      <c r="D99" s="256"/>
      <c r="E99" s="253"/>
      <c r="F99" s="254"/>
      <c r="I99" s="256"/>
      <c r="J99" s="253"/>
      <c r="K99" s="254"/>
      <c r="Q99" s="43"/>
    </row>
    <row r="100" spans="1:17" ht="20.25" customHeight="1" x14ac:dyDescent="0.25">
      <c r="D100" s="256"/>
      <c r="E100" s="247" t="str">
        <f>ROUND('ESP Leaching Bed'!C28*2*3.28,2)&amp;" ft"</f>
        <v>1,97 ft</v>
      </c>
      <c r="F100" s="248"/>
      <c r="I100" s="256"/>
      <c r="J100" s="247" t="e">
        <f>ROUND('ESP Leaching Bed'!C34*3.28,1)&amp;" ft"</f>
        <v>#DIV/0!</v>
      </c>
      <c r="K100" s="248"/>
      <c r="M100" s="69" t="s">
        <v>175</v>
      </c>
      <c r="N100" s="275" t="str">
        <f>IF(F16&gt;20,"System sand","Imported sand")</f>
        <v>Imported sand</v>
      </c>
      <c r="O100" s="275"/>
    </row>
    <row r="101" spans="1:17" ht="13.2" customHeight="1" x14ac:dyDescent="0.25">
      <c r="D101" s="226"/>
      <c r="E101" s="249"/>
      <c r="F101" s="250"/>
      <c r="I101" s="226"/>
      <c r="J101" s="249"/>
      <c r="K101" s="250"/>
    </row>
    <row r="103" spans="1:17" ht="36" customHeight="1" x14ac:dyDescent="0.25">
      <c r="A103" s="29" t="s">
        <v>87</v>
      </c>
      <c r="B103" s="232" t="s">
        <v>176</v>
      </c>
      <c r="C103" s="232"/>
      <c r="D103" s="232"/>
      <c r="E103" s="232"/>
      <c r="F103" s="232"/>
      <c r="G103" s="232"/>
      <c r="H103" s="232"/>
      <c r="I103" s="232"/>
      <c r="J103" s="232"/>
      <c r="K103" s="232"/>
      <c r="L103" s="232"/>
      <c r="M103" s="232"/>
      <c r="N103" s="232"/>
      <c r="O103" s="232"/>
    </row>
    <row r="104" spans="1:17" x14ac:dyDescent="0.25">
      <c r="B104" s="68"/>
    </row>
    <row r="123" spans="1:15" x14ac:dyDescent="0.25">
      <c r="A123" s="17"/>
      <c r="B123" s="200"/>
      <c r="C123" s="200"/>
      <c r="D123" s="200"/>
      <c r="E123" s="200"/>
      <c r="F123" s="200"/>
      <c r="G123" s="200"/>
      <c r="H123" s="200"/>
      <c r="I123" s="200"/>
      <c r="J123" s="200"/>
      <c r="K123" s="200"/>
      <c r="L123" s="200"/>
      <c r="M123" s="200"/>
      <c r="N123" s="200"/>
      <c r="O123" s="200"/>
    </row>
  </sheetData>
  <mergeCells count="91">
    <mergeCell ref="O46:O47"/>
    <mergeCell ref="O48:O49"/>
    <mergeCell ref="F27:H27"/>
    <mergeCell ref="B27:E27"/>
    <mergeCell ref="G36:G37"/>
    <mergeCell ref="H36:I37"/>
    <mergeCell ref="F24:H24"/>
    <mergeCell ref="B25:E25"/>
    <mergeCell ref="F25:H25"/>
    <mergeCell ref="B26:E26"/>
    <mergeCell ref="N46:N49"/>
    <mergeCell ref="O97:O98"/>
    <mergeCell ref="N100:O100"/>
    <mergeCell ref="I98:I101"/>
    <mergeCell ref="J98:K99"/>
    <mergeCell ref="J100:K101"/>
    <mergeCell ref="N95:N98"/>
    <mergeCell ref="B17:E17"/>
    <mergeCell ref="B18:E18"/>
    <mergeCell ref="B19:E19"/>
    <mergeCell ref="B21:E21"/>
    <mergeCell ref="F19:H19"/>
    <mergeCell ref="F17:H17"/>
    <mergeCell ref="F18:H18"/>
    <mergeCell ref="F21:H21"/>
    <mergeCell ref="B20:E20"/>
    <mergeCell ref="F20:H20"/>
    <mergeCell ref="B16:E16"/>
    <mergeCell ref="B12:C12"/>
    <mergeCell ref="B13:C13"/>
    <mergeCell ref="F15:H15"/>
    <mergeCell ref="F16:H16"/>
    <mergeCell ref="L13:M13"/>
    <mergeCell ref="D12:O12"/>
    <mergeCell ref="D13:K13"/>
    <mergeCell ref="N13:O13"/>
    <mergeCell ref="B15:E15"/>
    <mergeCell ref="K15:O15"/>
    <mergeCell ref="L21:O21"/>
    <mergeCell ref="L22:O22"/>
    <mergeCell ref="A58:A61"/>
    <mergeCell ref="B58:B59"/>
    <mergeCell ref="B60:B61"/>
    <mergeCell ref="D36:E37"/>
    <mergeCell ref="C36:C37"/>
    <mergeCell ref="A46:A49"/>
    <mergeCell ref="B48:B49"/>
    <mergeCell ref="B46:B47"/>
    <mergeCell ref="B22:E22"/>
    <mergeCell ref="B23:E23"/>
    <mergeCell ref="B24:E24"/>
    <mergeCell ref="F22:H22"/>
    <mergeCell ref="F26:H26"/>
    <mergeCell ref="F23:H23"/>
    <mergeCell ref="L16:O16"/>
    <mergeCell ref="L19:O19"/>
    <mergeCell ref="L18:O18"/>
    <mergeCell ref="L17:O17"/>
    <mergeCell ref="L20:O20"/>
    <mergeCell ref="B123:O123"/>
    <mergeCell ref="D74:D75"/>
    <mergeCell ref="H74:H75"/>
    <mergeCell ref="B103:O103"/>
    <mergeCell ref="N82:O83"/>
    <mergeCell ref="A79:B82"/>
    <mergeCell ref="E74:F75"/>
    <mergeCell ref="I74:J75"/>
    <mergeCell ref="N85:O86"/>
    <mergeCell ref="N87:O88"/>
    <mergeCell ref="A90:A93"/>
    <mergeCell ref="B90:B91"/>
    <mergeCell ref="D98:D101"/>
    <mergeCell ref="E98:F99"/>
    <mergeCell ref="E100:F101"/>
    <mergeCell ref="O95:O96"/>
    <mergeCell ref="B92:B93"/>
    <mergeCell ref="L23:O23"/>
    <mergeCell ref="L24:O24"/>
    <mergeCell ref="N54:N57"/>
    <mergeCell ref="O54:O55"/>
    <mergeCell ref="G65:H66"/>
    <mergeCell ref="I65:K66"/>
    <mergeCell ref="F28:H28"/>
    <mergeCell ref="F29:H29"/>
    <mergeCell ref="B28:E28"/>
    <mergeCell ref="B29:E29"/>
    <mergeCell ref="O56:O57"/>
    <mergeCell ref="L25:O25"/>
    <mergeCell ref="N90:N93"/>
    <mergeCell ref="O90:O91"/>
    <mergeCell ref="O92:O93"/>
  </mergeCells>
  <phoneticPr fontId="20" type="noConversion"/>
  <printOptions horizontalCentered="1"/>
  <pageMargins left="0.23622047244094491" right="0.23622047244094491" top="0.74803149606299213" bottom="0.74803149606299213" header="0.31496062992125984" footer="0.31496062992125984"/>
  <pageSetup scale="74" fitToHeight="3" orientation="landscape" horizontalDpi="1200" verticalDpi="1200" r:id="rId1"/>
  <headerFooter alignWithMargins="0">
    <oddFooter>&amp;R&amp;14&amp;P/&amp;N</oddFooter>
  </headerFooter>
  <rowBreaks count="2" manualBreakCount="2">
    <brk id="32" max="14" man="1"/>
    <brk id="6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6"/>
  <sheetViews>
    <sheetView topLeftCell="A8" workbookViewId="0">
      <selection activeCell="G15" sqref="G15"/>
    </sheetView>
  </sheetViews>
  <sheetFormatPr defaultColWidth="11.44140625" defaultRowHeight="13.2" x14ac:dyDescent="0.25"/>
  <cols>
    <col min="1" max="4" width="11.44140625" style="38"/>
    <col min="5" max="5" width="19.109375" style="38" customWidth="1"/>
    <col min="6" max="6" width="11.44140625" style="38"/>
    <col min="7" max="7" width="17.109375" style="38" customWidth="1"/>
    <col min="8" max="16384" width="11.44140625" style="38"/>
  </cols>
  <sheetData>
    <row r="1" spans="1:7" ht="22.2" x14ac:dyDescent="0.45">
      <c r="A1" s="281" t="s">
        <v>177</v>
      </c>
      <c r="B1" s="281"/>
      <c r="C1" s="281"/>
      <c r="D1" s="281"/>
      <c r="E1" s="281"/>
      <c r="F1" s="281"/>
      <c r="G1" s="281"/>
    </row>
    <row r="2" spans="1:7" ht="17.399999999999999" x14ac:dyDescent="0.35">
      <c r="A2" s="282" t="s">
        <v>178</v>
      </c>
      <c r="B2" s="282"/>
      <c r="C2" s="282"/>
      <c r="D2" s="282"/>
      <c r="E2" s="283">
        <f>'ESP Leaching Bed'!C20</f>
        <v>0</v>
      </c>
      <c r="F2" s="283"/>
      <c r="G2" s="283"/>
    </row>
    <row r="3" spans="1:7" ht="17.399999999999999" x14ac:dyDescent="0.35">
      <c r="A3" s="282" t="s">
        <v>179</v>
      </c>
      <c r="B3" s="282"/>
      <c r="C3" s="282"/>
      <c r="D3" s="282"/>
      <c r="E3" s="283">
        <f>'ESP Leaching Bed'!C21</f>
        <v>0</v>
      </c>
      <c r="F3" s="283"/>
      <c r="G3" s="283"/>
    </row>
    <row r="4" spans="1:7" ht="17.399999999999999" x14ac:dyDescent="0.35">
      <c r="A4" s="282" t="s">
        <v>39</v>
      </c>
      <c r="B4" s="282"/>
      <c r="C4" s="282"/>
      <c r="D4" s="282"/>
      <c r="E4" s="283">
        <f>'ESP Leaching Bed'!C22</f>
        <v>0</v>
      </c>
      <c r="F4" s="283"/>
      <c r="G4" s="283"/>
    </row>
    <row r="5" spans="1:7" ht="17.399999999999999" x14ac:dyDescent="0.35">
      <c r="A5" s="39"/>
      <c r="B5" s="280"/>
      <c r="C5" s="280"/>
      <c r="D5" s="280"/>
      <c r="E5" s="280"/>
    </row>
    <row r="6" spans="1:7" ht="18" thickBot="1" x14ac:dyDescent="0.4">
      <c r="A6" s="284" t="s">
        <v>180</v>
      </c>
      <c r="B6" s="284"/>
      <c r="C6" s="284"/>
      <c r="D6" s="284"/>
      <c r="E6" s="284"/>
    </row>
    <row r="7" spans="1:7" x14ac:dyDescent="0.25">
      <c r="A7" s="285" t="s">
        <v>181</v>
      </c>
      <c r="B7" s="287" t="s">
        <v>182</v>
      </c>
      <c r="C7" s="287"/>
      <c r="D7" s="287"/>
      <c r="E7" s="288"/>
    </row>
    <row r="8" spans="1:7" ht="18" thickBot="1" x14ac:dyDescent="0.4">
      <c r="A8" s="286"/>
      <c r="B8" s="289"/>
      <c r="C8" s="289"/>
      <c r="D8" s="289"/>
      <c r="E8" s="290"/>
      <c r="F8" s="39"/>
      <c r="G8" s="39"/>
    </row>
    <row r="9" spans="1:7" ht="17.399999999999999" x14ac:dyDescent="0.35">
      <c r="A9" s="40"/>
      <c r="B9" s="41"/>
      <c r="C9" s="41"/>
      <c r="D9" s="41"/>
      <c r="E9" s="42"/>
      <c r="F9" s="39"/>
      <c r="G9" s="39"/>
    </row>
    <row r="10" spans="1:7" ht="17.399999999999999" x14ac:dyDescent="0.35">
      <c r="A10" s="57">
        <f>E2*E3*10</f>
        <v>0</v>
      </c>
      <c r="B10" s="276" t="s">
        <v>183</v>
      </c>
      <c r="C10" s="276"/>
      <c r="D10" s="276"/>
      <c r="E10" s="277"/>
      <c r="F10" s="39"/>
      <c r="G10" s="39"/>
    </row>
    <row r="11" spans="1:7" ht="17.399999999999999" x14ac:dyDescent="0.25">
      <c r="A11" s="40"/>
      <c r="B11" s="41"/>
      <c r="C11" s="41"/>
      <c r="D11" s="41"/>
      <c r="E11" s="42"/>
    </row>
    <row r="12" spans="1:7" ht="17.399999999999999" x14ac:dyDescent="0.25">
      <c r="A12" s="57">
        <f>(E2)*((ROUNDUP(E3,0))-1)</f>
        <v>0</v>
      </c>
      <c r="B12" s="276" t="s">
        <v>184</v>
      </c>
      <c r="C12" s="276"/>
      <c r="D12" s="276"/>
      <c r="E12" s="277"/>
    </row>
    <row r="13" spans="1:7" ht="17.399999999999999" x14ac:dyDescent="0.25">
      <c r="A13" s="40"/>
      <c r="B13" s="41"/>
      <c r="C13" s="41"/>
      <c r="D13" s="41"/>
      <c r="E13" s="42"/>
    </row>
    <row r="14" spans="1:7" ht="17.399999999999999" x14ac:dyDescent="0.25">
      <c r="A14" s="57">
        <f>E2</f>
        <v>0</v>
      </c>
      <c r="B14" s="276" t="s">
        <v>185</v>
      </c>
      <c r="C14" s="276"/>
      <c r="D14" s="276"/>
      <c r="E14" s="277"/>
    </row>
    <row r="15" spans="1:7" ht="17.399999999999999" x14ac:dyDescent="0.25">
      <c r="A15" s="40"/>
      <c r="B15" s="41"/>
      <c r="C15" s="41"/>
      <c r="D15" s="41"/>
      <c r="E15" s="42"/>
    </row>
    <row r="16" spans="1:7" ht="17.399999999999999" x14ac:dyDescent="0.25">
      <c r="A16" s="57">
        <f>E2</f>
        <v>0</v>
      </c>
      <c r="B16" s="276" t="s">
        <v>186</v>
      </c>
      <c r="C16" s="276"/>
      <c r="D16" s="276"/>
      <c r="E16" s="277"/>
    </row>
    <row r="17" spans="1:5" ht="17.399999999999999" x14ac:dyDescent="0.25">
      <c r="A17" s="40"/>
      <c r="B17" s="41"/>
      <c r="C17" s="41"/>
      <c r="D17" s="41"/>
      <c r="E17" s="42"/>
    </row>
    <row r="18" spans="1:5" ht="17.399999999999999" x14ac:dyDescent="0.25">
      <c r="A18" s="57">
        <f>E4</f>
        <v>0</v>
      </c>
      <c r="B18" s="276" t="s">
        <v>187</v>
      </c>
      <c r="C18" s="276"/>
      <c r="D18" s="276"/>
      <c r="E18" s="277"/>
    </row>
    <row r="19" spans="1:5" ht="17.399999999999999" x14ac:dyDescent="0.25">
      <c r="A19" s="40"/>
      <c r="B19" s="41"/>
      <c r="C19" s="41"/>
      <c r="D19" s="41"/>
      <c r="E19" s="42"/>
    </row>
    <row r="20" spans="1:5" ht="17.399999999999999" x14ac:dyDescent="0.25">
      <c r="A20" s="57">
        <f>A10</f>
        <v>0</v>
      </c>
      <c r="B20" s="276" t="s">
        <v>188</v>
      </c>
      <c r="C20" s="276"/>
      <c r="D20" s="276"/>
      <c r="E20" s="277"/>
    </row>
    <row r="21" spans="1:5" ht="17.399999999999999" x14ac:dyDescent="0.25">
      <c r="A21" s="40"/>
      <c r="B21" s="41"/>
      <c r="C21" s="41"/>
      <c r="D21" s="41"/>
      <c r="E21" s="42"/>
    </row>
    <row r="22" spans="1:5" ht="17.399999999999999" x14ac:dyDescent="0.25">
      <c r="A22" s="57">
        <f>ROUNDUP(2*(E2-1)*3.28,0)</f>
        <v>-7</v>
      </c>
      <c r="B22" s="276" t="s">
        <v>189</v>
      </c>
      <c r="C22" s="276"/>
      <c r="D22" s="276"/>
      <c r="E22" s="277"/>
    </row>
    <row r="23" spans="1:5" ht="17.399999999999999" x14ac:dyDescent="0.25">
      <c r="A23" s="40"/>
      <c r="B23" s="41"/>
      <c r="C23" s="41"/>
      <c r="D23" s="41"/>
      <c r="E23" s="42"/>
    </row>
    <row r="24" spans="1:5" ht="17.399999999999999" x14ac:dyDescent="0.25">
      <c r="A24" s="57">
        <f>E2</f>
        <v>0</v>
      </c>
      <c r="B24" s="276" t="s">
        <v>190</v>
      </c>
      <c r="C24" s="276"/>
      <c r="D24" s="276"/>
      <c r="E24" s="277"/>
    </row>
    <row r="25" spans="1:5" ht="17.399999999999999" x14ac:dyDescent="0.25">
      <c r="A25" s="40"/>
      <c r="B25" s="41"/>
      <c r="C25" s="41"/>
      <c r="D25" s="41"/>
      <c r="E25" s="42"/>
    </row>
    <row r="26" spans="1:5" ht="18" customHeight="1" x14ac:dyDescent="0.25">
      <c r="A26" s="58">
        <v>1</v>
      </c>
      <c r="B26" s="278" t="s">
        <v>191</v>
      </c>
      <c r="C26" s="278"/>
      <c r="D26" s="278"/>
      <c r="E26" s="279"/>
    </row>
  </sheetData>
  <sheetProtection sheet="1" objects="1" scenarios="1"/>
  <mergeCells count="20">
    <mergeCell ref="B5:E5"/>
    <mergeCell ref="B12:E12"/>
    <mergeCell ref="A1:G1"/>
    <mergeCell ref="A2:D2"/>
    <mergeCell ref="E2:G2"/>
    <mergeCell ref="A3:D3"/>
    <mergeCell ref="E3:G3"/>
    <mergeCell ref="A6:E6"/>
    <mergeCell ref="A7:A8"/>
    <mergeCell ref="B7:E8"/>
    <mergeCell ref="B10:E10"/>
    <mergeCell ref="A4:D4"/>
    <mergeCell ref="E4:G4"/>
    <mergeCell ref="B20:E20"/>
    <mergeCell ref="B24:E24"/>
    <mergeCell ref="B26:E26"/>
    <mergeCell ref="B14:E14"/>
    <mergeCell ref="B16:E16"/>
    <mergeCell ref="B18:E18"/>
    <mergeCell ref="B22:E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785C-29C5-4A74-8C59-F842147CB53E}">
  <dimension ref="A1:S77"/>
  <sheetViews>
    <sheetView zoomScale="73" zoomScaleNormal="85" workbookViewId="0">
      <selection activeCell="D29" sqref="D29"/>
    </sheetView>
  </sheetViews>
  <sheetFormatPr defaultColWidth="11.44140625" defaultRowHeight="14.4" x14ac:dyDescent="0.3"/>
  <cols>
    <col min="1" max="1" width="33.6640625" style="70" customWidth="1"/>
    <col min="2" max="3" width="11.44140625" style="70"/>
    <col min="4" max="4" width="34.88671875" style="70" customWidth="1"/>
    <col min="5" max="5" width="4.33203125" style="70" customWidth="1"/>
    <col min="6" max="6" width="30.33203125" style="70" customWidth="1"/>
    <col min="7" max="7" width="15.6640625" style="70" customWidth="1"/>
    <col min="8" max="8" width="14.44140625" style="70" customWidth="1"/>
    <col min="9" max="16384" width="11.44140625" style="70"/>
  </cols>
  <sheetData>
    <row r="1" spans="1:19" ht="18" x14ac:dyDescent="0.35">
      <c r="A1" s="294" t="s">
        <v>192</v>
      </c>
      <c r="B1" s="294"/>
      <c r="C1" s="294"/>
      <c r="D1" s="294"/>
    </row>
    <row r="2" spans="1:19" ht="15" customHeight="1" x14ac:dyDescent="0.3">
      <c r="A2" s="116" t="s">
        <v>193</v>
      </c>
      <c r="I2" s="155"/>
      <c r="J2" s="155"/>
    </row>
    <row r="3" spans="1:19" ht="15.75" customHeight="1" thickBot="1" x14ac:dyDescent="0.35">
      <c r="A3" s="116" t="s">
        <v>194</v>
      </c>
      <c r="I3" s="155" t="s">
        <v>195</v>
      </c>
      <c r="J3" s="155"/>
    </row>
    <row r="4" spans="1:19" ht="16.8" thickBot="1" x14ac:dyDescent="0.35">
      <c r="A4" s="295" t="s">
        <v>196</v>
      </c>
      <c r="B4" s="296"/>
      <c r="C4" s="296"/>
      <c r="D4" s="297"/>
      <c r="F4" s="298" t="s">
        <v>197</v>
      </c>
      <c r="G4" s="299"/>
    </row>
    <row r="5" spans="1:19" x14ac:dyDescent="0.3">
      <c r="A5" s="71" t="s">
        <v>75</v>
      </c>
      <c r="B5" s="72" t="s">
        <v>76</v>
      </c>
      <c r="C5" s="72" t="s">
        <v>9</v>
      </c>
      <c r="D5" s="73" t="s">
        <v>77</v>
      </c>
      <c r="F5" s="74" t="s">
        <v>198</v>
      </c>
      <c r="G5" s="75" t="e">
        <f>IF(AND('Courbes de pompes'!A20&gt;'Pump calculator'!$B$28,B29&lt;'Courbes de pompes'!B17,'Pump calculator'!B29&gt;'Courbes de pompes'!B14,'Pump calculator'!B28&lt;'Courbes de pompes'!B17,'Pump calculator'!B28&gt;'Courbes de pompes'!B15),"YES","NO")</f>
        <v>#DIV/0!</v>
      </c>
    </row>
    <row r="6" spans="1:19" x14ac:dyDescent="0.3">
      <c r="A6" s="76" t="s">
        <v>199</v>
      </c>
      <c r="B6" s="81">
        <v>4.766</v>
      </c>
      <c r="C6" s="77" t="s">
        <v>79</v>
      </c>
      <c r="D6" s="78" t="s">
        <v>200</v>
      </c>
      <c r="F6" s="76" t="s">
        <v>201</v>
      </c>
      <c r="G6" s="78" t="e">
        <f>IF(AND('Courbes de pompes'!D21&gt;'Pump calculator'!$B$28,'Pump calculator'!B29&lt;'Courbes de pompes'!E18,'Pump calculator'!B29&gt;'Courbes de pompes'!E15,'Pump calculator'!B28&lt;'Courbes de pompes'!E19,'Pump calculator'!B28&gt;'Courbes de pompes'!E16),"YES","NO")</f>
        <v>#DIV/0!</v>
      </c>
    </row>
    <row r="7" spans="1:19" x14ac:dyDescent="0.3">
      <c r="A7" s="76" t="s">
        <v>202</v>
      </c>
      <c r="B7" s="81">
        <v>1.52</v>
      </c>
      <c r="C7" s="77" t="s">
        <v>18</v>
      </c>
      <c r="D7" s="78" t="s">
        <v>203</v>
      </c>
      <c r="F7" s="76" t="s">
        <v>204</v>
      </c>
      <c r="G7" s="78" t="e">
        <f>IF(AND('Courbes de pompes'!G23&gt;'Pump calculator'!$B$28,'Pump calculator'!B29&lt;'Courbes de pompes'!H20,'Pump calculator'!B29&gt;'Courbes de pompes'!H17,'Pump calculator'!B28&lt;'Courbes de pompes'!H21,'Pump calculator'!B28&gt;'Courbes de pompes'!H18),"YES","NO")</f>
        <v>#DIV/0!</v>
      </c>
    </row>
    <row r="8" spans="1:19" x14ac:dyDescent="0.3">
      <c r="A8" s="80" t="s">
        <v>205</v>
      </c>
      <c r="B8" s="122">
        <f>'ESP Leaching Bed'!C21</f>
        <v>0</v>
      </c>
      <c r="C8" s="77"/>
      <c r="D8" s="78"/>
      <c r="F8" s="80" t="s">
        <v>206</v>
      </c>
      <c r="G8" s="185" t="e">
        <f>IF(AND('valeurs pompes'!B18&gt;'Pump calculator'!$B$28,'Pump calculator'!$B$29&lt;'valeurs pompes'!C18,'Pump calculator'!$B$29&gt;'valeurs pompes'!D18,'Pump calculator'!$B$28&lt;'valeurs pompes'!E18,'Pump calculator'!$B$28&gt;'valeurs pompes'!F18),"YES","NO")</f>
        <v>#DIV/0!</v>
      </c>
    </row>
    <row r="9" spans="1:19" x14ac:dyDescent="0.3">
      <c r="A9" s="76" t="s">
        <v>207</v>
      </c>
      <c r="B9" s="81">
        <f>B8*3.05</f>
        <v>0</v>
      </c>
      <c r="C9" s="77" t="s">
        <v>18</v>
      </c>
      <c r="D9" s="82" t="s">
        <v>208</v>
      </c>
      <c r="F9" s="80" t="s">
        <v>209</v>
      </c>
      <c r="G9" s="78" t="e">
        <f>IF(AND('valeurs pompes'!B19&gt;'Pump calculator'!$B$28,'Pump calculator'!$B$29&lt;'valeurs pompes'!C19,'Pump calculator'!$B$29&gt;'valeurs pompes'!D19,'Pump calculator'!$B$28&lt;'valeurs pompes'!E19,'Pump calculator'!$B$28&gt;'valeurs pompes'!F19),"YES","NO")</f>
        <v>#DIV/0!</v>
      </c>
      <c r="I9" s="79"/>
      <c r="J9" s="126"/>
    </row>
    <row r="10" spans="1:19" x14ac:dyDescent="0.3">
      <c r="A10" s="76" t="s">
        <v>210</v>
      </c>
      <c r="B10" s="122">
        <v>0.8</v>
      </c>
      <c r="C10" s="77" t="s">
        <v>18</v>
      </c>
      <c r="D10" s="78" t="s">
        <v>211</v>
      </c>
      <c r="F10" s="80" t="s">
        <v>212</v>
      </c>
      <c r="G10" s="78" t="e">
        <f>IF(AND('valeurs pompes'!B20&gt;'Pump calculator'!$B$28,'Pump calculator'!$B$29&lt;'valeurs pompes'!C20,'Pump calculator'!$B$29&gt;'valeurs pompes'!D20,'Pump calculator'!$B$28&lt;'valeurs pompes'!E20,'Pump calculator'!$B$28&gt;'valeurs pompes'!F20),"YES","NO")</f>
        <v>#DIV/0!</v>
      </c>
      <c r="Q10" s="188"/>
    </row>
    <row r="11" spans="1:19" x14ac:dyDescent="0.3">
      <c r="A11" s="76" t="s">
        <v>213</v>
      </c>
      <c r="B11" s="81">
        <v>40.93</v>
      </c>
      <c r="C11" s="77" t="s">
        <v>79</v>
      </c>
      <c r="D11" s="78" t="s">
        <v>214</v>
      </c>
      <c r="F11" s="80" t="s">
        <v>215</v>
      </c>
      <c r="G11" s="78" t="e">
        <f>IF(AND('valeurs pompes'!B21&gt;'Pump calculator'!$B$28,'Pump calculator'!$B$29&lt;'valeurs pompes'!C21,'Pump calculator'!$B$29&gt;'valeurs pompes'!D21,'Pump calculator'!$B$28&lt;'valeurs pompes'!E21,'Pump calculator'!$B$28&gt;'valeurs pompes'!F21),"YES","NO")</f>
        <v>#DIV/0!</v>
      </c>
    </row>
    <row r="12" spans="1:19" ht="15" thickBot="1" x14ac:dyDescent="0.35">
      <c r="A12" s="76" t="s">
        <v>216</v>
      </c>
      <c r="B12" s="81">
        <v>150</v>
      </c>
      <c r="C12" s="77"/>
      <c r="D12" s="78" t="s">
        <v>217</v>
      </c>
      <c r="F12" s="174" t="s">
        <v>218</v>
      </c>
      <c r="G12" s="92" t="e">
        <f>IF(AND('Courbes de pompes'!V28&gt;'Pump calculator'!$B$28,'Pump calculator'!B29&lt;'Courbes de pompes'!W25,'Pump calculator'!B29&gt;'Courbes de pompes'!W22,'Pump calculator'!B28&lt;'Courbes de pompes'!W26,'Pump calculator'!B28&gt;'Courbes de pompes'!W23),"YES","NO")</f>
        <v>#DIV/0!</v>
      </c>
      <c r="J12" s="188"/>
    </row>
    <row r="13" spans="1:19" x14ac:dyDescent="0.3">
      <c r="A13" s="76" t="s">
        <v>219</v>
      </c>
      <c r="B13" s="122" t="e">
        <f>'ESP Leaching Bed'!C20/'ESP Leaching Bed'!C22</f>
        <v>#DIV/0!</v>
      </c>
      <c r="C13" s="77"/>
      <c r="D13" s="78"/>
      <c r="F13" s="74" t="s">
        <v>220</v>
      </c>
      <c r="G13" s="75" t="e">
        <f>IF(AND('Courbes de pompes'!A48&gt;'Pump calculator'!$B$28,'Pump calculator'!B29&lt;'Courbes de pompes'!B45,'Pump calculator'!B29&gt;'Courbes de pompes'!B42,'Pump calculator'!B28&lt;'Courbes de pompes'!B46,'Pump calculator'!B28&gt;'Courbes de pompes'!B43),"YES","NO")</f>
        <v>#DIV/0!</v>
      </c>
      <c r="J13" s="188"/>
    </row>
    <row r="14" spans="1:19" x14ac:dyDescent="0.3">
      <c r="A14" s="189" t="s">
        <v>221</v>
      </c>
      <c r="B14" s="81">
        <f>ROUND(B9/B7,0)</f>
        <v>0</v>
      </c>
      <c r="C14" s="77"/>
      <c r="D14" s="78"/>
      <c r="F14" s="76" t="s">
        <v>222</v>
      </c>
      <c r="G14" s="185" t="e">
        <f>IF(AND('Courbes de pompes'!D50&gt;'Pump calculator'!$B$28,'Pump calculator'!B29&lt;'Courbes de pompes'!E47,'Pump calculator'!B29&gt;'Courbes de pompes'!E44,'Pump calculator'!B28&lt;'Courbes de pompes'!E48,'Pump calculator'!B28&gt;'Courbes de pompes'!E45),"YES","NO")</f>
        <v>#DIV/0!</v>
      </c>
      <c r="S14" s="190"/>
    </row>
    <row r="15" spans="1:19" ht="15" thickBot="1" x14ac:dyDescent="0.35">
      <c r="A15" s="83" t="s">
        <v>223</v>
      </c>
      <c r="B15" s="84">
        <f>LATtab!E265/'Pump calculator'!B10</f>
        <v>0</v>
      </c>
      <c r="C15" s="85"/>
      <c r="D15" s="86" t="str">
        <f>IF(B15&gt;1.2,"Error! Ratio too big. To validate the calculations, contact Make-Way","")</f>
        <v/>
      </c>
      <c r="F15" s="76" t="s">
        <v>224</v>
      </c>
      <c r="G15" s="78" t="e">
        <f>IF(AND('Courbes de pompes'!G51&gt;'Pump calculator'!$B$28,'Pump calculator'!B29&lt;'Courbes de pompes'!H48,'Pump calculator'!B29&gt;'Courbes de pompes'!H45,'Pump calculator'!B28&lt;'Courbes de pompes'!H49,'Pump calculator'!B28&gt;'Courbes de pompes'!H46),"YES","NO")</f>
        <v>#DIV/0!</v>
      </c>
    </row>
    <row r="16" spans="1:19" ht="16.2" thickBot="1" x14ac:dyDescent="0.35">
      <c r="A16" s="295" t="s">
        <v>225</v>
      </c>
      <c r="B16" s="296"/>
      <c r="C16" s="296"/>
      <c r="D16" s="297"/>
      <c r="F16" s="76" t="s">
        <v>226</v>
      </c>
      <c r="G16" s="78" t="e">
        <f>IF(AND('valeurs pompes'!B10&gt;'Pump calculator'!$B$28,'Pump calculator'!$B$29&lt;'valeurs pompes'!C10,'Pump calculator'!$B$29&gt;'valeurs pompes'!D10,'Pump calculator'!$B$28&lt;'valeurs pompes'!E10,'Pump calculator'!$B$28&gt;'valeurs pompes'!F10),"YES","NO")</f>
        <v>#DIV/0!</v>
      </c>
      <c r="S16" s="188"/>
    </row>
    <row r="17" spans="1:19" ht="15" thickBot="1" x14ac:dyDescent="0.35">
      <c r="A17" s="128" t="s">
        <v>75</v>
      </c>
      <c r="B17" s="129" t="s">
        <v>76</v>
      </c>
      <c r="C17" s="129" t="s">
        <v>9</v>
      </c>
      <c r="D17" s="130" t="s">
        <v>77</v>
      </c>
      <c r="F17" s="80" t="s">
        <v>227</v>
      </c>
      <c r="G17" s="78" t="e">
        <f>IF(AND('valeurs pompes'!B13&gt;'Pump calculator'!$B$28,'Pump calculator'!$B$29&lt;'valeurs pompes'!C13,'Pump calculator'!$B$29&gt;'valeurs pompes'!D13,'Pump calculator'!$B$28&lt;'valeurs pompes'!E13,'Pump calculator'!$B$28&gt;'valeurs pompes'!F13),"YES","NO")</f>
        <v>#DIV/0!</v>
      </c>
      <c r="S17" s="188"/>
    </row>
    <row r="18" spans="1:19" ht="43.2" x14ac:dyDescent="0.3">
      <c r="A18" s="74" t="s">
        <v>78</v>
      </c>
      <c r="B18" s="140">
        <f>'ESP Leaching Bed'!C43</f>
        <v>50</v>
      </c>
      <c r="C18" s="131" t="s">
        <v>79</v>
      </c>
      <c r="D18" s="132" t="s">
        <v>80</v>
      </c>
      <c r="F18" s="80" t="s">
        <v>228</v>
      </c>
      <c r="G18" s="78" t="e">
        <f>IF(AND('valeurs pompes'!B14&gt;'Pump calculator'!$B$28,'Pump calculator'!$B$29&lt;'valeurs pompes'!C14,'Pump calculator'!$B$29&gt;'valeurs pompes'!D14,'Pump calculator'!$B$28&lt;'valeurs pompes'!E14,'Pump calculator'!$B$28&gt;'valeurs pompes'!F14),"YES","NO")</f>
        <v>#DIV/0!</v>
      </c>
    </row>
    <row r="19" spans="1:19" x14ac:dyDescent="0.3">
      <c r="A19" s="189" t="s">
        <v>81</v>
      </c>
      <c r="B19" s="81">
        <f>'ESP Leaching Bed'!C44</f>
        <v>50</v>
      </c>
      <c r="C19" s="77" t="s">
        <v>79</v>
      </c>
      <c r="D19" s="78" t="s">
        <v>229</v>
      </c>
      <c r="F19" s="80" t="s">
        <v>230</v>
      </c>
      <c r="G19" s="78" t="e">
        <f>IF(AND('valeurs pompes'!B15&gt;'Pump calculator'!$B$28,'Pump calculator'!$B$29&lt;'valeurs pompes'!C15,'Pump calculator'!$B$29&gt;'valeurs pompes'!D15,'Pump calculator'!$B$28&lt;'valeurs pompes'!E15,'Pump calculator'!$B$28&gt;'valeurs pompes'!F15),"YES","NO")</f>
        <v>#DIV/0!</v>
      </c>
    </row>
    <row r="20" spans="1:19" x14ac:dyDescent="0.3">
      <c r="A20" s="189" t="s">
        <v>83</v>
      </c>
      <c r="B20" s="81">
        <f>'ESP Leaching Bed'!C45</f>
        <v>22</v>
      </c>
      <c r="C20" s="77" t="s">
        <v>18</v>
      </c>
      <c r="D20" s="191" t="s">
        <v>84</v>
      </c>
      <c r="F20" s="80" t="s">
        <v>231</v>
      </c>
      <c r="G20" s="78" t="e">
        <f>IF(AND('valeurs pompes'!B16&gt;'Pump calculator'!$B$28,'Pump calculator'!$B$29&lt;'valeurs pompes'!C16,'Pump calculator'!$B$29&gt;'valeurs pompes'!D16,'Pump calculator'!$B$28&lt;'valeurs pompes'!E16,'Pump calculator'!$B$28&gt;'valeurs pompes'!F16),"YES","NO")</f>
        <v>#DIV/0!</v>
      </c>
    </row>
    <row r="21" spans="1:19" ht="29.4" thickBot="1" x14ac:dyDescent="0.35">
      <c r="A21" s="127" t="s">
        <v>85</v>
      </c>
      <c r="B21" s="81">
        <f>'ESP Leaching Bed'!C46</f>
        <v>2</v>
      </c>
      <c r="C21" s="77" t="s">
        <v>18</v>
      </c>
      <c r="D21" s="87" t="s">
        <v>86</v>
      </c>
      <c r="F21" s="174" t="s">
        <v>232</v>
      </c>
      <c r="G21" s="92" t="e">
        <f>IF(AND('valeurs pompes'!B17&gt;'Pump calculator'!$B$28,'Pump calculator'!$B$29&lt;'valeurs pompes'!C17,'Pump calculator'!$B$29&gt;'valeurs pompes'!D17,'Pump calculator'!$B$28&lt;'valeurs pompes'!E17,'Pump calculator'!$B$28&gt;'valeurs pompes'!F17),"YES","NO")</f>
        <v>#DIV/0!</v>
      </c>
    </row>
    <row r="22" spans="1:19" ht="94.5" customHeight="1" x14ac:dyDescent="0.3">
      <c r="A22" s="76" t="s">
        <v>233</v>
      </c>
      <c r="B22" s="122" t="e">
        <f>10+B13*1</f>
        <v>#DIV/0!</v>
      </c>
      <c r="C22" s="77"/>
      <c r="D22" s="87" t="s">
        <v>234</v>
      </c>
      <c r="F22" s="184" t="s">
        <v>235</v>
      </c>
      <c r="G22" s="186" t="e">
        <f>IF(AND('Courbes de pompes'!D77&gt;'Pump calculator'!$B$28,'Pump calculator'!B29&lt;'Courbes de pompes'!E74,'Pump calculator'!B29&gt;'Courbes de pompes'!E71,'Pump calculator'!B28&lt;'Courbes de pompes'!E75,'Pump calculator'!B28&gt;'Courbes de pompes'!E72),"YES","NO")</f>
        <v>#DIV/0!</v>
      </c>
    </row>
    <row r="23" spans="1:19" ht="23.4" customHeight="1" thickBot="1" x14ac:dyDescent="0.35">
      <c r="A23" s="192" t="s">
        <v>236</v>
      </c>
      <c r="B23" s="133" t="str">
        <f>IF('Calculs - Perte de charge'!L42=0,"NO","YES")</f>
        <v>NO</v>
      </c>
      <c r="C23" s="193"/>
      <c r="D23" s="88"/>
      <c r="F23" s="76" t="s">
        <v>237</v>
      </c>
      <c r="G23" s="78" t="e">
        <f>IF(AND('valeurs pompes'!B11&gt;'Pump calculator'!$B$28,'Pump calculator'!$B$29&lt;'valeurs pompes'!C11,'Pump calculator'!$B$29&gt;'valeurs pompes'!D11,'Pump calculator'!$B$28&lt;'valeurs pompes'!E11,'Pump calculator'!$B$28&gt;'valeurs pompes'!F11),"YES","NO")</f>
        <v>#DIV/0!</v>
      </c>
    </row>
    <row r="24" spans="1:19" ht="15" thickBot="1" x14ac:dyDescent="0.35">
      <c r="B24" s="89"/>
      <c r="F24" s="76" t="s">
        <v>238</v>
      </c>
      <c r="G24" s="78" t="e">
        <f>IF(AND('valeurs pompes'!B12&gt;'Pump calculator'!$B$28,'Pump calculator'!$B$29&lt;'valeurs pompes'!C12,'Pump calculator'!$B$29&gt;'valeurs pompes'!D12,'Pump calculator'!$B$28&lt;'valeurs pompes'!E12,'Pump calculator'!$B$28&gt;'valeurs pompes'!F12),"YES","NO")</f>
        <v>#DIV/0!</v>
      </c>
    </row>
    <row r="25" spans="1:19" ht="15" thickBot="1" x14ac:dyDescent="0.35">
      <c r="A25" s="300" t="s">
        <v>239</v>
      </c>
      <c r="B25" s="301"/>
      <c r="C25" s="302"/>
      <c r="D25" s="64"/>
      <c r="F25" s="83" t="s">
        <v>240</v>
      </c>
      <c r="G25" s="194" t="e">
        <f>IF(AND('Courbes de pompes'!A78&gt;'Pump calculator'!$B$28,'Pump calculator'!B29&lt;'Courbes de pompes'!B75,'Pump calculator'!B29&gt;'Courbes de pompes'!B72,'Pump calculator'!B28&lt;'Courbes de pompes'!B76,'Pump calculator'!B28&gt;'Courbes de pompes'!B73),"YES","NO")</f>
        <v>#DIV/0!</v>
      </c>
    </row>
    <row r="26" spans="1:19" x14ac:dyDescent="0.3">
      <c r="A26" s="74" t="s">
        <v>241</v>
      </c>
      <c r="B26" s="90" t="e">
        <f>'Calculs - Perte de charge'!C20</f>
        <v>#DIV/0!</v>
      </c>
      <c r="C26" s="75" t="s">
        <v>18</v>
      </c>
    </row>
    <row r="27" spans="1:19" ht="15" thickBot="1" x14ac:dyDescent="0.35">
      <c r="A27" s="83" t="s">
        <v>242</v>
      </c>
      <c r="B27" s="91" t="e">
        <f>'Calculs - Perte de charge'!C4</f>
        <v>#DIV/0!</v>
      </c>
      <c r="C27" s="92" t="s">
        <v>243</v>
      </c>
      <c r="F27" s="183" t="s">
        <v>244</v>
      </c>
      <c r="G27" s="195" t="s">
        <v>238</v>
      </c>
    </row>
    <row r="28" spans="1:19" x14ac:dyDescent="0.3">
      <c r="A28" s="74" t="s">
        <v>241</v>
      </c>
      <c r="B28" s="93" t="e">
        <f>B26*3.28</f>
        <v>#DIV/0!</v>
      </c>
      <c r="C28" s="75" t="s">
        <v>245</v>
      </c>
      <c r="F28" s="183" t="s">
        <v>246</v>
      </c>
      <c r="G28" s="81" t="e">
        <f>IF(B77="YES","Ok",B76)</f>
        <v>#DIV/0!</v>
      </c>
      <c r="H28" s="188"/>
    </row>
    <row r="29" spans="1:19" ht="15" thickBot="1" x14ac:dyDescent="0.35">
      <c r="A29" s="83" t="s">
        <v>242</v>
      </c>
      <c r="B29" s="94" t="e">
        <f>B27*0.264*60</f>
        <v>#DIV/0!</v>
      </c>
      <c r="C29" s="92" t="s">
        <v>247</v>
      </c>
      <c r="F29" s="183" t="s">
        <v>248</v>
      </c>
      <c r="G29" s="195">
        <v>115</v>
      </c>
    </row>
    <row r="30" spans="1:19" ht="15" thickBot="1" x14ac:dyDescent="0.35">
      <c r="A30" s="188" t="s">
        <v>249</v>
      </c>
      <c r="F30" s="183" t="s">
        <v>250</v>
      </c>
      <c r="G30" s="81" t="str">
        <f>IFERROR(INT(($B$33/3.785)/G29)&amp;" Min &amp; "&amp;ROUND((($B$33/3.785)/G29-INT(($B$33/3.785)/G29))*60,0)&amp;" sec","")</f>
        <v>0 Min &amp; 6 sec</v>
      </c>
    </row>
    <row r="31" spans="1:19" ht="16.2" thickBot="1" x14ac:dyDescent="0.35">
      <c r="A31" s="291" t="s">
        <v>251</v>
      </c>
      <c r="B31" s="292"/>
      <c r="C31" s="293"/>
      <c r="D31" s="95"/>
      <c r="E31" s="95"/>
      <c r="F31" s="183" t="s">
        <v>252</v>
      </c>
      <c r="G31" s="81" t="str">
        <f>IFERROR(INT(60-($B$33/3.785)/G29)&amp;" Min &amp; "&amp;ROUND((60-($B$33/3.785)/G29-INT(60-($B$33/3.785)/G29))*60,0)&amp;" sec","")</f>
        <v>59 Min &amp; 54 sec</v>
      </c>
    </row>
    <row r="32" spans="1:19" x14ac:dyDescent="0.3">
      <c r="A32" s="97" t="s">
        <v>253</v>
      </c>
      <c r="B32" s="98">
        <f>'Calculs - Perte de charge'!C33</f>
        <v>0</v>
      </c>
      <c r="C32" s="99" t="s">
        <v>133</v>
      </c>
      <c r="D32" s="96"/>
      <c r="E32" s="96"/>
      <c r="F32" s="70" t="s">
        <v>254</v>
      </c>
      <c r="H32" s="96"/>
    </row>
    <row r="33" spans="1:8" ht="15" thickBot="1" x14ac:dyDescent="0.35">
      <c r="A33" s="100" t="s">
        <v>255</v>
      </c>
      <c r="B33" s="101">
        <f>'Calculs - Perte de charge'!C27</f>
        <v>45</v>
      </c>
      <c r="C33" s="102" t="s">
        <v>133</v>
      </c>
      <c r="D33" s="96"/>
      <c r="E33" s="96"/>
      <c r="F33" s="188" t="s">
        <v>256</v>
      </c>
      <c r="H33" s="96"/>
    </row>
    <row r="34" spans="1:8" x14ac:dyDescent="0.3">
      <c r="A34" s="96" t="s">
        <v>257</v>
      </c>
      <c r="B34" s="96"/>
      <c r="C34" s="96"/>
      <c r="D34" s="96"/>
      <c r="E34" s="96"/>
      <c r="G34" s="96"/>
      <c r="H34" s="96"/>
    </row>
    <row r="35" spans="1:8" ht="24.6" x14ac:dyDescent="0.3">
      <c r="A35" s="64" t="s">
        <v>258</v>
      </c>
      <c r="B35" s="96"/>
      <c r="C35" s="96"/>
      <c r="D35" s="96"/>
      <c r="E35" s="96"/>
      <c r="F35" s="123" t="s">
        <v>259</v>
      </c>
      <c r="G35" s="123" t="s">
        <v>260</v>
      </c>
      <c r="H35" s="96"/>
    </row>
    <row r="36" spans="1:8" x14ac:dyDescent="0.3">
      <c r="A36" s="96"/>
      <c r="B36" s="96"/>
      <c r="C36" s="96"/>
      <c r="D36" s="96"/>
      <c r="E36" s="96"/>
      <c r="F36" s="124">
        <v>38</v>
      </c>
      <c r="G36" s="125" t="s">
        <v>261</v>
      </c>
      <c r="H36" s="96"/>
    </row>
    <row r="37" spans="1:8" x14ac:dyDescent="0.3">
      <c r="F37" s="124">
        <v>50</v>
      </c>
      <c r="G37" s="125" t="s">
        <v>262</v>
      </c>
    </row>
    <row r="38" spans="1:8" x14ac:dyDescent="0.3">
      <c r="F38" s="124">
        <v>75</v>
      </c>
      <c r="G38" s="125" t="s">
        <v>263</v>
      </c>
    </row>
    <row r="44" spans="1:8" x14ac:dyDescent="0.3">
      <c r="F44" s="188"/>
    </row>
    <row r="45" spans="1:8" x14ac:dyDescent="0.3">
      <c r="F45" s="188"/>
    </row>
    <row r="52" spans="3:3" x14ac:dyDescent="0.3">
      <c r="C52" s="178"/>
    </row>
    <row r="53" spans="3:3" x14ac:dyDescent="0.3">
      <c r="C53" s="178"/>
    </row>
    <row r="54" spans="3:3" x14ac:dyDescent="0.3">
      <c r="C54" s="178"/>
    </row>
    <row r="56" spans="3:3" x14ac:dyDescent="0.3">
      <c r="C56" s="178"/>
    </row>
    <row r="57" spans="3:3" x14ac:dyDescent="0.3">
      <c r="C57" s="178"/>
    </row>
    <row r="58" spans="3:3" x14ac:dyDescent="0.3">
      <c r="C58" s="178"/>
    </row>
    <row r="59" spans="3:3" x14ac:dyDescent="0.3">
      <c r="C59" s="178"/>
    </row>
    <row r="74" spans="2:3" x14ac:dyDescent="0.3">
      <c r="B74" s="70">
        <v>0</v>
      </c>
      <c r="C74" s="178" t="e">
        <f>B28</f>
        <v>#DIV/0!</v>
      </c>
    </row>
    <row r="75" spans="2:3" x14ac:dyDescent="0.3">
      <c r="B75" s="178">
        <v>140</v>
      </c>
      <c r="C75" s="178" t="e">
        <f>B28</f>
        <v>#DIV/0!</v>
      </c>
    </row>
    <row r="76" spans="2:3" x14ac:dyDescent="0.3">
      <c r="B76" s="188" t="s">
        <v>264</v>
      </c>
    </row>
    <row r="77" spans="2:3" x14ac:dyDescent="0.3">
      <c r="B77" s="70" t="e">
        <f>VLOOKUP(G27,F5:G25,2,FALSE)</f>
        <v>#DIV/0!</v>
      </c>
    </row>
  </sheetData>
  <sheetProtection algorithmName="SHA-512" hashValue="OG93tQvq1QAnVgBpSTGY4Xz8YRwOh2erk/DCbeWNhigKwomlJKKST+/KbfWkQ6Cm7oSSJkikKlbcig8NSqJbJQ==" saltValue="tp+Fqpy+zO3arZosHzxGBw==" spinCount="100000" sheet="1" objects="1" scenarios="1"/>
  <protectedRanges>
    <protectedRange sqref="G27 G29" name="Pump and Flow Selection"/>
  </protectedRanges>
  <mergeCells count="6">
    <mergeCell ref="A31:C31"/>
    <mergeCell ref="A1:D1"/>
    <mergeCell ref="A4:D4"/>
    <mergeCell ref="F4:G4"/>
    <mergeCell ref="A16:D16"/>
    <mergeCell ref="A25:C25"/>
  </mergeCells>
  <dataValidations count="3">
    <dataValidation allowBlank="1" showInputMessage="1" sqref="B20:B21" xr:uid="{E167951A-2907-4A9F-987E-8DE90EE4558F}"/>
    <dataValidation type="list" allowBlank="1" showInputMessage="1" showErrorMessage="1" sqref="B19" xr:uid="{19FA9FBC-1922-4066-B4FE-240646812828}">
      <formula1>$F$36:$F$38</formula1>
    </dataValidation>
    <dataValidation type="list" allowBlank="1" showInputMessage="1" showErrorMessage="1" sqref="G27" xr:uid="{976DFC1D-F392-49A1-B1C9-60FC98C574E9}">
      <formula1>$F$5:$F$25</formula1>
    </dataValidation>
  </dataValidations>
  <hyperlinks>
    <hyperlink ref="A35" r:id="rId1" xr:uid="{DDD65405-6030-4887-99CD-B57CE16E8AC4}"/>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8BC2FB43-356E-4080-B741-1CF3349436F2}">
            <xm:f>NOT(ISERROR(SEARCH($G$28,B77)))</xm:f>
            <xm:f>$G$28</xm:f>
            <x14:dxf>
              <font>
                <color rgb="FF9C0006"/>
              </font>
              <fill>
                <patternFill>
                  <bgColor rgb="FFFFC7CE"/>
                </patternFill>
              </fill>
            </x14:dxf>
          </x14:cfRule>
          <xm:sqref>B77</xm:sqref>
        </x14:conditionalFormatting>
        <x14:conditionalFormatting xmlns:xm="http://schemas.microsoft.com/office/excel/2006/main">
          <x14:cfRule type="containsText" priority="2" operator="containsText" id="{8C20B8A5-4BE7-4980-ADB1-7A4A376F74EB}">
            <xm:f>NOT(ISERROR(SEARCH($B$76,G28)))</xm:f>
            <xm:f>$B$76</xm:f>
            <x14:dxf>
              <font>
                <color rgb="FF9C0006"/>
              </font>
              <fill>
                <patternFill>
                  <bgColor rgb="FFFFC7CE"/>
                </patternFill>
              </fill>
            </x14:dxf>
          </x14:cfRule>
          <xm:sqref>G28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9C912-84BD-4DAD-BAC2-7CD8C7A22392}">
  <dimension ref="B4:P42"/>
  <sheetViews>
    <sheetView zoomScale="110" zoomScaleNormal="110" workbookViewId="0">
      <selection activeCell="C17" sqref="C17"/>
    </sheetView>
  </sheetViews>
  <sheetFormatPr defaultColWidth="11.44140625" defaultRowHeight="13.2" x14ac:dyDescent="0.25"/>
  <cols>
    <col min="1" max="1" width="11.44140625" style="38"/>
    <col min="2" max="2" width="23.33203125" style="38" customWidth="1"/>
    <col min="3" max="3" width="12.44140625" style="38" bestFit="1" customWidth="1"/>
    <col min="4" max="7" width="11.44140625" style="38"/>
    <col min="8" max="8" width="15.109375" style="38" customWidth="1"/>
    <col min="9" max="15" width="11.44140625" style="38"/>
    <col min="16" max="16" width="13" style="38" customWidth="1"/>
    <col min="17" max="16384" width="11.44140625" style="38"/>
  </cols>
  <sheetData>
    <row r="4" spans="2:16" x14ac:dyDescent="0.25">
      <c r="B4" s="38" t="s">
        <v>265</v>
      </c>
      <c r="C4" s="38" t="e">
        <f>MAX(LATtab!G2:G250)*'Pump calculator'!B13</f>
        <v>#DIV/0!</v>
      </c>
      <c r="D4" s="38" t="s">
        <v>243</v>
      </c>
      <c r="H4" s="38" t="s">
        <v>266</v>
      </c>
      <c r="I4" s="38" t="e">
        <f>('Pump calculator'!B27/1000)/(PI()*(('Pump calculator'!B19/2)/1000)^2)</f>
        <v>#DIV/0!</v>
      </c>
      <c r="L4" s="38" t="s">
        <v>267</v>
      </c>
    </row>
    <row r="5" spans="2:16" x14ac:dyDescent="0.25">
      <c r="L5" s="38" t="e">
        <f>'Pump calculator'!B13</f>
        <v>#DIV/0!</v>
      </c>
    </row>
    <row r="6" spans="2:16" x14ac:dyDescent="0.25">
      <c r="H6" s="38" t="s">
        <v>268</v>
      </c>
    </row>
    <row r="7" spans="2:16" x14ac:dyDescent="0.25">
      <c r="B7" s="38" t="s">
        <v>269</v>
      </c>
      <c r="C7" s="107">
        <f>'Pump calculator'!B21</f>
        <v>2</v>
      </c>
      <c r="D7" s="38" t="s">
        <v>18</v>
      </c>
      <c r="H7" s="38" t="e">
        <f>'Pump calculator'!B22*(997*I4^2)/2</f>
        <v>#DIV/0!</v>
      </c>
      <c r="I7" s="38" t="s">
        <v>270</v>
      </c>
      <c r="L7" s="38" t="s">
        <v>271</v>
      </c>
    </row>
    <row r="8" spans="2:16" x14ac:dyDescent="0.25">
      <c r="B8" s="38" t="s">
        <v>272</v>
      </c>
      <c r="C8" s="107" t="e">
        <f>L23</f>
        <v>#DIV/0!</v>
      </c>
      <c r="D8" s="38" t="s">
        <v>18</v>
      </c>
      <c r="H8" s="38" t="e">
        <f>H7/9804.139</f>
        <v>#DIV/0!</v>
      </c>
      <c r="I8" s="38" t="s">
        <v>18</v>
      </c>
      <c r="L8" s="38" t="e">
        <f>'ESP Leaching Bed'!C24/'ESP Leaching Bed'!C22</f>
        <v>#VALUE!</v>
      </c>
    </row>
    <row r="9" spans="2:16" x14ac:dyDescent="0.25">
      <c r="B9" s="38" t="s">
        <v>273</v>
      </c>
      <c r="C9" s="107" t="e">
        <f>(10.583*'Pump calculator'!B20*(C4/1000)^1.85)/('Pump calculator'!B12^1.85*('Pump calculator'!B19/1000)^4.87)</f>
        <v>#DIV/0!</v>
      </c>
      <c r="D9" s="38" t="s">
        <v>18</v>
      </c>
      <c r="P9" s="108"/>
    </row>
    <row r="10" spans="2:16" x14ac:dyDescent="0.25">
      <c r="B10" s="38" t="s">
        <v>268</v>
      </c>
      <c r="C10" s="107" t="e">
        <f>H8</f>
        <v>#DIV/0!</v>
      </c>
      <c r="D10" s="38" t="s">
        <v>18</v>
      </c>
      <c r="P10" s="108"/>
    </row>
    <row r="11" spans="2:16" x14ac:dyDescent="0.25">
      <c r="B11" s="38" t="s">
        <v>274</v>
      </c>
      <c r="C11" s="107" t="e">
        <f>IF('Pump calculator'!B10=0.6,L16,'Calculs - Perte de charge'!O17)</f>
        <v>#DIV/0!</v>
      </c>
      <c r="D11" s="38" t="s">
        <v>18</v>
      </c>
      <c r="H11" s="38" t="s">
        <v>275</v>
      </c>
      <c r="P11" s="108"/>
    </row>
    <row r="12" spans="2:16" x14ac:dyDescent="0.25">
      <c r="B12" s="38" t="s">
        <v>276</v>
      </c>
      <c r="C12" s="107">
        <f>'Pump calculator'!B10</f>
        <v>0.8</v>
      </c>
      <c r="D12" s="38" t="s">
        <v>18</v>
      </c>
      <c r="H12" s="38" t="s">
        <v>277</v>
      </c>
      <c r="I12" s="38">
        <f>(('ESP Leaching Bed'!C20-1)*'ESP Leaching Bed'!C27)</f>
        <v>-2</v>
      </c>
      <c r="J12" s="38" t="s">
        <v>18</v>
      </c>
    </row>
    <row r="13" spans="2:16" x14ac:dyDescent="0.25">
      <c r="B13" s="38" t="s">
        <v>278</v>
      </c>
      <c r="C13" s="107" t="e">
        <f>SUM(LATtab!D3:D45)*'Pump calculator'!B13</f>
        <v>#DIV/0!</v>
      </c>
      <c r="D13" s="38" t="s">
        <v>18</v>
      </c>
    </row>
    <row r="14" spans="2:16" x14ac:dyDescent="0.25">
      <c r="B14" s="38" t="s">
        <v>279</v>
      </c>
      <c r="C14" s="107" t="e">
        <f>(10.583*I12*(C4/1000)^1.85)/('Pump calculator'!B12^1.85*('Pump calculator'!B19/1000)^4.87)</f>
        <v>#DIV/0!</v>
      </c>
      <c r="D14" s="38" t="s">
        <v>18</v>
      </c>
    </row>
    <row r="15" spans="2:16" x14ac:dyDescent="0.25">
      <c r="E15" s="107"/>
      <c r="F15" s="109"/>
      <c r="L15" s="38" t="s">
        <v>280</v>
      </c>
    </row>
    <row r="16" spans="2:16" x14ac:dyDescent="0.25">
      <c r="B16" s="38" t="s">
        <v>281</v>
      </c>
      <c r="C16" s="107" t="e">
        <f>SUM(C7:C14)</f>
        <v>#DIV/0!</v>
      </c>
      <c r="D16" s="38" t="s">
        <v>18</v>
      </c>
      <c r="L16" s="38" t="e">
        <f>-0.000009*L5^4 + 0.0005*L5^3 - 0.0091*L5^2 + 0.0766*L5 - 0.0466</f>
        <v>#DIV/0!</v>
      </c>
    </row>
    <row r="17" spans="2:15" x14ac:dyDescent="0.25">
      <c r="B17" s="38" t="s">
        <v>282</v>
      </c>
      <c r="C17" s="38">
        <v>1.2</v>
      </c>
      <c r="N17" s="38" t="s">
        <v>283</v>
      </c>
      <c r="O17" s="38" t="e">
        <f>L16+L19</f>
        <v>#DIV/0!</v>
      </c>
    </row>
    <row r="18" spans="2:15" x14ac:dyDescent="0.25">
      <c r="B18" s="38" t="s">
        <v>284</v>
      </c>
      <c r="C18" s="107">
        <f>L42</f>
        <v>0</v>
      </c>
      <c r="D18" s="38" t="s">
        <v>18</v>
      </c>
      <c r="L18" s="38" t="s">
        <v>285</v>
      </c>
    </row>
    <row r="19" spans="2:15" x14ac:dyDescent="0.25">
      <c r="F19" s="109"/>
      <c r="L19" s="38">
        <f>0.256*'Pump calculator'!B10-0.0214</f>
        <v>0.18340000000000001</v>
      </c>
    </row>
    <row r="20" spans="2:15" x14ac:dyDescent="0.25">
      <c r="B20" s="38" t="s">
        <v>286</v>
      </c>
      <c r="C20" s="107" t="e">
        <f>(C16*C17)+C18</f>
        <v>#DIV/0!</v>
      </c>
      <c r="D20" s="38" t="s">
        <v>18</v>
      </c>
    </row>
    <row r="22" spans="2:15" x14ac:dyDescent="0.25">
      <c r="L22" s="38" t="s">
        <v>287</v>
      </c>
    </row>
    <row r="23" spans="2:15" ht="15.6" x14ac:dyDescent="0.3">
      <c r="B23" s="110" t="s">
        <v>288</v>
      </c>
      <c r="C23" s="96"/>
      <c r="D23" s="96"/>
      <c r="E23" s="96"/>
      <c r="F23" s="96"/>
      <c r="G23" s="96"/>
      <c r="L23" s="38" t="e">
        <f>(208010*(C4^2))/'Pump calculator'!B18^4</f>
        <v>#DIV/0!</v>
      </c>
    </row>
    <row r="24" spans="2:15" ht="14.4" x14ac:dyDescent="0.3">
      <c r="B24" s="111"/>
      <c r="C24" s="96">
        <f>'ESP Leaching Bed'!$C$11/24</f>
        <v>0</v>
      </c>
      <c r="D24" s="96" t="s">
        <v>133</v>
      </c>
      <c r="E24" s="96" t="s">
        <v>289</v>
      </c>
      <c r="F24" s="96"/>
      <c r="G24" s="96"/>
    </row>
    <row r="25" spans="2:15" ht="14.4" x14ac:dyDescent="0.3">
      <c r="B25" s="111"/>
      <c r="C25" s="112">
        <f>(PI()*(('Pump calculator'!B19/1000)/2)^2*'Pump calculator'!B20)*1000</f>
        <v>43.196898986859658</v>
      </c>
      <c r="D25" s="96" t="s">
        <v>133</v>
      </c>
      <c r="E25" s="96" t="s">
        <v>290</v>
      </c>
      <c r="F25" s="96"/>
      <c r="G25" s="96"/>
    </row>
    <row r="26" spans="2:15" ht="14.4" x14ac:dyDescent="0.3">
      <c r="B26" s="111"/>
      <c r="C26" s="96" t="s">
        <v>291</v>
      </c>
      <c r="D26" s="96"/>
      <c r="E26" s="96"/>
      <c r="F26" s="96"/>
      <c r="G26" s="96"/>
    </row>
    <row r="27" spans="2:15" ht="14.4" x14ac:dyDescent="0.3">
      <c r="B27" s="111"/>
      <c r="C27" s="96">
        <f>MROUND(SUM(C24:C25),5)</f>
        <v>45</v>
      </c>
      <c r="D27" s="96" t="s">
        <v>133</v>
      </c>
      <c r="E27" s="96"/>
      <c r="F27" s="96"/>
      <c r="G27" s="96"/>
      <c r="K27" s="38" t="s">
        <v>292</v>
      </c>
    </row>
    <row r="28" spans="2:15" ht="14.4" x14ac:dyDescent="0.3">
      <c r="B28" s="111"/>
      <c r="C28" s="96"/>
      <c r="D28" s="96"/>
      <c r="E28" s="96"/>
      <c r="F28" s="96"/>
      <c r="G28" s="96"/>
      <c r="K28" s="38" t="s">
        <v>293</v>
      </c>
      <c r="L28" s="38" t="s">
        <v>294</v>
      </c>
    </row>
    <row r="29" spans="2:15" ht="14.4" x14ac:dyDescent="0.3">
      <c r="B29" s="111"/>
      <c r="C29" s="96"/>
      <c r="D29" s="96"/>
      <c r="E29" s="96"/>
      <c r="F29" s="96"/>
      <c r="G29" s="96"/>
      <c r="J29" s="38">
        <v>0</v>
      </c>
      <c r="K29" s="38">
        <v>0</v>
      </c>
      <c r="L29" s="38">
        <v>10</v>
      </c>
      <c r="M29" s="38">
        <v>2.5</v>
      </c>
    </row>
    <row r="30" spans="2:15" ht="15.6" x14ac:dyDescent="0.3">
      <c r="B30" s="110" t="s">
        <v>295</v>
      </c>
      <c r="C30" s="96"/>
      <c r="D30" s="96"/>
      <c r="E30" s="96"/>
      <c r="F30" s="96"/>
      <c r="G30" s="96"/>
      <c r="J30" s="38">
        <v>10</v>
      </c>
      <c r="K30" s="38">
        <v>2</v>
      </c>
      <c r="L30" s="38">
        <v>20</v>
      </c>
      <c r="M30" s="38">
        <v>4.5</v>
      </c>
    </row>
    <row r="31" spans="2:15" ht="14.4" x14ac:dyDescent="0.3">
      <c r="B31" s="111"/>
      <c r="C31" s="96">
        <f>MROUND('ESP Leaching Bed'!C11*0.5,5)</f>
        <v>0</v>
      </c>
      <c r="D31" s="96"/>
      <c r="E31" s="96"/>
      <c r="F31" s="96"/>
      <c r="G31" s="96"/>
      <c r="J31" s="38">
        <v>20</v>
      </c>
      <c r="K31" s="38">
        <v>3</v>
      </c>
      <c r="L31" s="38">
        <v>30</v>
      </c>
      <c r="M31" s="38">
        <v>7.5</v>
      </c>
    </row>
    <row r="32" spans="2:15" ht="14.4" x14ac:dyDescent="0.3">
      <c r="B32" s="111"/>
      <c r="C32" s="113"/>
      <c r="D32" s="96"/>
      <c r="E32" s="96"/>
      <c r="F32" s="96"/>
      <c r="G32" s="96"/>
      <c r="J32" s="38">
        <v>30</v>
      </c>
      <c r="K32" s="38">
        <v>4.5</v>
      </c>
    </row>
    <row r="33" spans="2:12" ht="14.4" x14ac:dyDescent="0.3">
      <c r="B33" s="111" t="s">
        <v>281</v>
      </c>
      <c r="C33" s="113">
        <f>SUM(C31:C32)</f>
        <v>0</v>
      </c>
      <c r="D33" s="96" t="s">
        <v>133</v>
      </c>
      <c r="E33" s="96"/>
      <c r="F33" s="96"/>
      <c r="G33" s="96"/>
      <c r="J33" s="38">
        <v>40</v>
      </c>
      <c r="K33" s="38">
        <v>6.4</v>
      </c>
    </row>
    <row r="34" spans="2:12" ht="14.4" x14ac:dyDescent="0.3">
      <c r="B34" s="111"/>
      <c r="C34" s="96"/>
      <c r="D34" s="96"/>
      <c r="E34" s="96"/>
      <c r="F34" s="96"/>
      <c r="G34" s="96"/>
    </row>
    <row r="35" spans="2:12" x14ac:dyDescent="0.25">
      <c r="J35" s="38" t="s">
        <v>296</v>
      </c>
      <c r="K35" s="38" t="e">
        <f>'Pump calculator'!B29</f>
        <v>#DIV/0!</v>
      </c>
    </row>
    <row r="36" spans="2:12" x14ac:dyDescent="0.25">
      <c r="J36" s="38" t="s">
        <v>297</v>
      </c>
      <c r="K36" s="38" t="e">
        <f>K35*0.157</f>
        <v>#DIV/0!</v>
      </c>
      <c r="L36" s="38" t="e">
        <f xml:space="preserve"> 0.005*K35^2 + 0.05*K35 + 1.5</f>
        <v>#DIV/0!</v>
      </c>
    </row>
    <row r="37" spans="2:12" x14ac:dyDescent="0.25">
      <c r="J37" s="38" t="s">
        <v>298</v>
      </c>
      <c r="K37" s="38" t="e">
        <f>0.70307*K36</f>
        <v>#DIV/0!</v>
      </c>
      <c r="L37" s="38" t="e">
        <f>0.70307*L36</f>
        <v>#DIV/0!</v>
      </c>
    </row>
    <row r="40" spans="2:12" x14ac:dyDescent="0.25">
      <c r="J40" s="38" t="s">
        <v>299</v>
      </c>
      <c r="L40" s="38">
        <f>'ESP Leaching Bed'!C22</f>
        <v>0</v>
      </c>
    </row>
    <row r="42" spans="2:12" x14ac:dyDescent="0.25">
      <c r="J42" s="38" t="s">
        <v>300</v>
      </c>
      <c r="L42" s="38">
        <f>(IF(AND(L40&gt;=2,L40&lt;=4),K37,IF(AND(L40&gt;4,L40&lt;=6),L37,IF(L40&lt;2,0,"ERROR, CALL MAKE WAY"))))</f>
        <v>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B05BA-32A7-4298-8CA0-A26DF82450A5}">
  <dimension ref="A1:H269"/>
  <sheetViews>
    <sheetView workbookViewId="0">
      <selection activeCell="H18" sqref="H18"/>
    </sheetView>
  </sheetViews>
  <sheetFormatPr defaultColWidth="11.44140625" defaultRowHeight="13.2" x14ac:dyDescent="0.25"/>
  <cols>
    <col min="1" max="3" width="11.44140625" style="38"/>
    <col min="4" max="4" width="14.33203125" style="38" customWidth="1"/>
    <col min="5" max="5" width="16.6640625" style="38" customWidth="1"/>
    <col min="6" max="7" width="12.44140625" style="38" bestFit="1" customWidth="1"/>
    <col min="8" max="16384" width="11.44140625" style="38"/>
  </cols>
  <sheetData>
    <row r="1" spans="1:8" ht="26.4" x14ac:dyDescent="0.25">
      <c r="C1" s="114" t="s">
        <v>301</v>
      </c>
      <c r="D1" s="114" t="s">
        <v>302</v>
      </c>
      <c r="E1" s="114" t="s">
        <v>303</v>
      </c>
      <c r="F1" s="114" t="s">
        <v>304</v>
      </c>
      <c r="G1" s="114" t="s">
        <v>305</v>
      </c>
      <c r="H1" s="114" t="s">
        <v>306</v>
      </c>
    </row>
    <row r="2" spans="1:8" x14ac:dyDescent="0.25">
      <c r="A2" s="38">
        <v>1</v>
      </c>
      <c r="C2" s="38" t="str">
        <f>IF(A2&lt;='Pump calculator'!$B$14,LATtab!A2,"")</f>
        <v/>
      </c>
      <c r="E2" s="115" t="str">
        <f>IF(C2="","",'Pump calculator'!B10)</f>
        <v/>
      </c>
      <c r="F2" s="38" t="str">
        <f>IF(C2="","",(0.62*(PI()*(('Pump calculator'!$B$6/2)/1000)^2)*SQRT(2*9.81*E2))*1000)</f>
        <v/>
      </c>
      <c r="G2" s="38" t="str">
        <f>IF(C2="","",F2)</f>
        <v/>
      </c>
      <c r="H2" s="38">
        <v>0</v>
      </c>
    </row>
    <row r="3" spans="1:8" x14ac:dyDescent="0.25">
      <c r="A3" s="38">
        <v>2</v>
      </c>
      <c r="C3" s="38" t="str">
        <f>IF(A3&lt;='Pump calculator'!$B$14,LATtab!A3,"")</f>
        <v/>
      </c>
      <c r="D3" s="38" t="str">
        <f>IF(C3="","",(10.583*'Pump calculator'!$B$7*(LATtab!G2/1000)^1.85)/('Pump calculator'!$B$12^1.85*('Pump calculator'!$B$11/1000)^4.87))</f>
        <v/>
      </c>
      <c r="E3" s="115" t="str">
        <f>IF(C3="","",E2+D3)</f>
        <v/>
      </c>
      <c r="F3" s="38" t="str">
        <f>IF(C3="","",(0.62*(PI()*(('Pump calculator'!$B$6/2)/1000)^2)*SQRT(2*9.81*E3))*1000)</f>
        <v/>
      </c>
      <c r="G3" s="38" t="str">
        <f>IF(C3="","",F3+G2)</f>
        <v/>
      </c>
      <c r="H3" s="38" t="str">
        <f>IF(C3="","",H2+'Pump calculator'!$B$7)</f>
        <v/>
      </c>
    </row>
    <row r="4" spans="1:8" x14ac:dyDescent="0.25">
      <c r="A4" s="38">
        <v>3</v>
      </c>
      <c r="C4" s="38" t="str">
        <f>IF(A4&lt;='Pump calculator'!$B$14,LATtab!A4,"")</f>
        <v/>
      </c>
      <c r="D4" s="38" t="str">
        <f>IF(C4="","",(10.583*'Pump calculator'!$B$7*(LATtab!G3/1000)^1.85)/('Pump calculator'!$B$12^1.85*('Pump calculator'!$B$11/1000)^4.87))</f>
        <v/>
      </c>
      <c r="E4" s="115" t="str">
        <f t="shared" ref="E4:E67" si="0">IF(C4="","",E3+D4)</f>
        <v/>
      </c>
      <c r="F4" s="38" t="str">
        <f>IF(C4="","",(0.62*(PI()*(('Pump calculator'!$B$6/2)/1000)^2)*SQRT(2*9.81*E4))*1000)</f>
        <v/>
      </c>
      <c r="G4" s="38" t="str">
        <f t="shared" ref="G4:G67" si="1">IF(C4="","",F4+G3)</f>
        <v/>
      </c>
      <c r="H4" s="38" t="str">
        <f>IF(C4="","",H3+'Pump calculator'!$B$7)</f>
        <v/>
      </c>
    </row>
    <row r="5" spans="1:8" x14ac:dyDescent="0.25">
      <c r="A5" s="38">
        <v>4</v>
      </c>
      <c r="C5" s="38" t="str">
        <f>IF(A5&lt;='Pump calculator'!$B$14,LATtab!A5,"")</f>
        <v/>
      </c>
      <c r="D5" s="38" t="str">
        <f>IF(C5="","",(10.583*'Pump calculator'!$B$7*(LATtab!G4/1000)^1.85)/('Pump calculator'!$B$12^1.85*('Pump calculator'!$B$11/1000)^4.87))</f>
        <v/>
      </c>
      <c r="E5" s="115" t="str">
        <f t="shared" si="0"/>
        <v/>
      </c>
      <c r="F5" s="38" t="str">
        <f>IF(C5="","",(0.62*(PI()*(('Pump calculator'!$B$6/2)/1000)^2)*SQRT(2*9.81*E5))*1000)</f>
        <v/>
      </c>
      <c r="G5" s="38" t="str">
        <f t="shared" si="1"/>
        <v/>
      </c>
      <c r="H5" s="38" t="str">
        <f>IF(C5="","",H4+'Pump calculator'!$B$7)</f>
        <v/>
      </c>
    </row>
    <row r="6" spans="1:8" x14ac:dyDescent="0.25">
      <c r="A6" s="38">
        <v>5</v>
      </c>
      <c r="C6" s="38" t="str">
        <f>IF(A6&lt;='Pump calculator'!$B$14,LATtab!A6,"")</f>
        <v/>
      </c>
      <c r="D6" s="38" t="str">
        <f>IF(C6="","",(10.583*'Pump calculator'!$B$7*(LATtab!G5/1000)^1.85)/('Pump calculator'!$B$12^1.85*('Pump calculator'!$B$11/1000)^4.87))</f>
        <v/>
      </c>
      <c r="E6" s="115" t="str">
        <f t="shared" si="0"/>
        <v/>
      </c>
      <c r="F6" s="38" t="str">
        <f>IF(C6="","",(0.62*(PI()*(('Pump calculator'!$B$6/2)/1000)^2)*SQRT(2*9.81*E6))*1000)</f>
        <v/>
      </c>
      <c r="G6" s="38" t="str">
        <f t="shared" si="1"/>
        <v/>
      </c>
      <c r="H6" s="38" t="str">
        <f>IF(C6="","",H5+'Pump calculator'!$B$7)</f>
        <v/>
      </c>
    </row>
    <row r="7" spans="1:8" x14ac:dyDescent="0.25">
      <c r="A7" s="38">
        <v>6</v>
      </c>
      <c r="C7" s="38" t="str">
        <f>IF(A7&lt;='Pump calculator'!$B$14,LATtab!A7,"")</f>
        <v/>
      </c>
      <c r="D7" s="38" t="str">
        <f>IF(C7="","",(10.583*'Pump calculator'!$B$7*(LATtab!G6/1000)^1.85)/('Pump calculator'!$B$12^1.85*('Pump calculator'!$B$11/1000)^4.87))</f>
        <v/>
      </c>
      <c r="E7" s="115" t="str">
        <f t="shared" si="0"/>
        <v/>
      </c>
      <c r="F7" s="38" t="str">
        <f>IF(C7="","",(0.62*(PI()*(('Pump calculator'!$B$6/2)/1000)^2)*SQRT(2*9.81*E7))*1000)</f>
        <v/>
      </c>
      <c r="G7" s="38" t="str">
        <f t="shared" si="1"/>
        <v/>
      </c>
      <c r="H7" s="38" t="str">
        <f>IF(C7="","",H6+'Pump calculator'!$B$7)</f>
        <v/>
      </c>
    </row>
    <row r="8" spans="1:8" x14ac:dyDescent="0.25">
      <c r="A8" s="38">
        <v>7</v>
      </c>
      <c r="C8" s="38" t="str">
        <f>IF(A8&lt;='Pump calculator'!$B$14,LATtab!A8,"")</f>
        <v/>
      </c>
      <c r="D8" s="38" t="str">
        <f>IF(C8="","",(10.583*'Pump calculator'!$B$7*(LATtab!G7/1000)^1.85)/('Pump calculator'!$B$12^1.85*('Pump calculator'!$B$11/1000)^4.87))</f>
        <v/>
      </c>
      <c r="E8" s="115" t="str">
        <f t="shared" si="0"/>
        <v/>
      </c>
      <c r="F8" s="38" t="str">
        <f>IF(C8="","",(0.62*(PI()*(('Pump calculator'!$B$6/2)/1000)^2)*SQRT(2*9.81*E8))*1000)</f>
        <v/>
      </c>
      <c r="G8" s="38" t="str">
        <f t="shared" si="1"/>
        <v/>
      </c>
      <c r="H8" s="38" t="str">
        <f>IF(C8="","",H7+'Pump calculator'!$B$7)</f>
        <v/>
      </c>
    </row>
    <row r="9" spans="1:8" x14ac:dyDescent="0.25">
      <c r="A9" s="38">
        <v>8</v>
      </c>
      <c r="C9" s="38" t="str">
        <f>IF(A9&lt;='Pump calculator'!$B$14,LATtab!A9,"")</f>
        <v/>
      </c>
      <c r="D9" s="38" t="str">
        <f>IF(C9="","",(10.583*'Pump calculator'!$B$7*(LATtab!G8/1000)^1.85)/('Pump calculator'!$B$12^1.85*('Pump calculator'!$B$11/1000)^4.87))</f>
        <v/>
      </c>
      <c r="E9" s="115" t="str">
        <f t="shared" si="0"/>
        <v/>
      </c>
      <c r="F9" s="38" t="str">
        <f>IF(C9="","",(0.62*(PI()*(('Pump calculator'!$B$6/2)/1000)^2)*SQRT(2*9.81*E9))*1000)</f>
        <v/>
      </c>
      <c r="G9" s="38" t="str">
        <f t="shared" si="1"/>
        <v/>
      </c>
      <c r="H9" s="38" t="str">
        <f>IF(C9="","",H8+'Pump calculator'!$B$7)</f>
        <v/>
      </c>
    </row>
    <row r="10" spans="1:8" x14ac:dyDescent="0.25">
      <c r="A10" s="38">
        <v>9</v>
      </c>
      <c r="C10" s="38" t="str">
        <f>IF(A10&lt;='Pump calculator'!$B$14,LATtab!A10,"")</f>
        <v/>
      </c>
      <c r="D10" s="38" t="str">
        <f>IF(C10="","",(10.583*'Pump calculator'!$B$7*(LATtab!G9/1000)^1.85)/('Pump calculator'!$B$12^1.85*('Pump calculator'!$B$11/1000)^4.87))</f>
        <v/>
      </c>
      <c r="E10" s="115" t="str">
        <f t="shared" si="0"/>
        <v/>
      </c>
      <c r="F10" s="38" t="str">
        <f>IF(C10="","",(0.62*(PI()*(('Pump calculator'!$B$6/2)/1000)^2)*SQRT(2*9.81*E10))*1000)</f>
        <v/>
      </c>
      <c r="G10" s="38" t="str">
        <f t="shared" si="1"/>
        <v/>
      </c>
      <c r="H10" s="38" t="str">
        <f>IF(C10="","",H9+'Pump calculator'!$B$7)</f>
        <v/>
      </c>
    </row>
    <row r="11" spans="1:8" x14ac:dyDescent="0.25">
      <c r="A11" s="38">
        <v>10</v>
      </c>
      <c r="C11" s="38" t="str">
        <f>IF(A11&lt;='Pump calculator'!$B$14,LATtab!A11,"")</f>
        <v/>
      </c>
      <c r="D11" s="38" t="str">
        <f>IF(C11="","",(10.583*'Pump calculator'!$B$7*(LATtab!G10/1000)^1.85)/('Pump calculator'!$B$12^1.85*('Pump calculator'!$B$11/1000)^4.87))</f>
        <v/>
      </c>
      <c r="E11" s="115" t="str">
        <f t="shared" si="0"/>
        <v/>
      </c>
      <c r="F11" s="38" t="str">
        <f>IF(C11="","",(0.62*(PI()*(('Pump calculator'!$B$6/2)/1000)^2)*SQRT(2*9.81*E11))*1000)</f>
        <v/>
      </c>
      <c r="G11" s="38" t="str">
        <f t="shared" si="1"/>
        <v/>
      </c>
      <c r="H11" s="38" t="str">
        <f>IF(C11="","",H10+'Pump calculator'!$B$7)</f>
        <v/>
      </c>
    </row>
    <row r="12" spans="1:8" x14ac:dyDescent="0.25">
      <c r="A12" s="38">
        <v>11</v>
      </c>
      <c r="C12" s="38" t="str">
        <f>IF(A12&lt;='Pump calculator'!$B$14,LATtab!A12,"")</f>
        <v/>
      </c>
      <c r="D12" s="38" t="str">
        <f>IF(C12="","",(10.583*'Pump calculator'!$B$7*(LATtab!G11/1000)^1.85)/('Pump calculator'!$B$12^1.85*('Pump calculator'!$B$11/1000)^4.87))</f>
        <v/>
      </c>
      <c r="E12" s="115" t="str">
        <f t="shared" si="0"/>
        <v/>
      </c>
      <c r="F12" s="38" t="str">
        <f>IF(C12="","",(0.62*(PI()*(('Pump calculator'!$B$6/2)/1000)^2)*SQRT(2*9.81*E12))*1000)</f>
        <v/>
      </c>
      <c r="G12" s="38" t="str">
        <f t="shared" si="1"/>
        <v/>
      </c>
      <c r="H12" s="38" t="str">
        <f>IF(C12="","",H11+'Pump calculator'!$B$7)</f>
        <v/>
      </c>
    </row>
    <row r="13" spans="1:8" x14ac:dyDescent="0.25">
      <c r="A13" s="38">
        <v>12</v>
      </c>
      <c r="C13" s="38" t="str">
        <f>IF(A13&lt;='Pump calculator'!$B$14,LATtab!A13,"")</f>
        <v/>
      </c>
      <c r="D13" s="38" t="str">
        <f>IF(C13="","",(10.583*'Pump calculator'!$B$7*(LATtab!G12/1000)^1.85)/('Pump calculator'!$B$12^1.85*('Pump calculator'!$B$11/1000)^4.87))</f>
        <v/>
      </c>
      <c r="E13" s="115" t="str">
        <f t="shared" si="0"/>
        <v/>
      </c>
      <c r="F13" s="38" t="str">
        <f>IF(C13="","",(0.62*(PI()*(('Pump calculator'!$B$6/2)/1000)^2)*SQRT(2*9.81*E13))*1000)</f>
        <v/>
      </c>
      <c r="G13" s="38" t="str">
        <f t="shared" si="1"/>
        <v/>
      </c>
      <c r="H13" s="38" t="str">
        <f>IF(C13="","",H12+'Pump calculator'!$B$7)</f>
        <v/>
      </c>
    </row>
    <row r="14" spans="1:8" x14ac:dyDescent="0.25">
      <c r="A14" s="38">
        <v>13</v>
      </c>
      <c r="C14" s="38" t="str">
        <f>IF(A14&lt;='Pump calculator'!$B$14,LATtab!A14,"")</f>
        <v/>
      </c>
      <c r="D14" s="38" t="str">
        <f>IF(C14="","",(10.583*'Pump calculator'!$B$7*(LATtab!G13/1000)^1.85)/('Pump calculator'!$B$12^1.85*('Pump calculator'!$B$11/1000)^4.87))</f>
        <v/>
      </c>
      <c r="E14" s="115" t="str">
        <f t="shared" si="0"/>
        <v/>
      </c>
      <c r="F14" s="38" t="str">
        <f>IF(C14="","",(0.62*(PI()*(('Pump calculator'!$B$6/2)/1000)^2)*SQRT(2*9.81*E14))*1000)</f>
        <v/>
      </c>
      <c r="G14" s="38" t="str">
        <f t="shared" si="1"/>
        <v/>
      </c>
      <c r="H14" s="38" t="str">
        <f>IF(C14="","",H13+'Pump calculator'!$B$7)</f>
        <v/>
      </c>
    </row>
    <row r="15" spans="1:8" x14ac:dyDescent="0.25">
      <c r="A15" s="38">
        <v>14</v>
      </c>
      <c r="C15" s="38" t="str">
        <f>IF(A15&lt;='Pump calculator'!$B$14,LATtab!A15,"")</f>
        <v/>
      </c>
      <c r="E15" s="115"/>
      <c r="F15" s="38" t="str">
        <f>IF(C15="","",(0.62*(PI()*(('Pump calculator'!$B$6/2)/1000)^2)*SQRT(2*9.81*E15))*1000)</f>
        <v/>
      </c>
      <c r="G15" s="38" t="str">
        <f t="shared" si="1"/>
        <v/>
      </c>
      <c r="H15" s="38" t="str">
        <f>IF(C15="","",H14+'Pump calculator'!$B$7)</f>
        <v/>
      </c>
    </row>
    <row r="16" spans="1:8" x14ac:dyDescent="0.25">
      <c r="A16" s="38">
        <v>15</v>
      </c>
      <c r="C16" s="38" t="str">
        <f>IF(A16&lt;='Pump calculator'!$B$14,LATtab!A16,"")</f>
        <v/>
      </c>
      <c r="D16" s="38" t="str">
        <f>IF(C16="","",(10.583*'Pump calculator'!$B$7*(LATtab!G15/1000)^1.85)/('Pump calculator'!$B$12^1.85*('Pump calculator'!$B$11/1000)^4.87))</f>
        <v/>
      </c>
      <c r="E16" s="115" t="str">
        <f t="shared" si="0"/>
        <v/>
      </c>
      <c r="F16" s="38" t="str">
        <f>IF(C16="","",(0.62*(PI()*(('Pump calculator'!$B$6/2)/1000)^2)*SQRT(2*9.81*E16))*1000)</f>
        <v/>
      </c>
      <c r="G16" s="38" t="str">
        <f t="shared" si="1"/>
        <v/>
      </c>
      <c r="H16" s="38" t="str">
        <f>IF(C16="","",H15+'Pump calculator'!$B$7)</f>
        <v/>
      </c>
    </row>
    <row r="17" spans="1:8" x14ac:dyDescent="0.25">
      <c r="A17" s="38">
        <v>16</v>
      </c>
      <c r="C17" s="38" t="str">
        <f>IF(A17&lt;='Pump calculator'!$B$14,LATtab!A17,"")</f>
        <v/>
      </c>
      <c r="D17" s="38" t="str">
        <f>IF(C17="","",(10.583*'Pump calculator'!$B$7*(LATtab!G16/1000)^1.85)/('Pump calculator'!$B$12^1.85*('Pump calculator'!$B$11/1000)^4.87))</f>
        <v/>
      </c>
      <c r="E17" s="115" t="str">
        <f t="shared" si="0"/>
        <v/>
      </c>
      <c r="F17" s="38" t="str">
        <f>IF(C17="","",(0.62*(PI()*(('Pump calculator'!$B$6/2)/1000)^2)*SQRT(2*9.81*E17))*1000)</f>
        <v/>
      </c>
      <c r="G17" s="38" t="str">
        <f t="shared" si="1"/>
        <v/>
      </c>
      <c r="H17" s="38" t="str">
        <f>IF(C17="","",H16+'Pump calculator'!$B$7)</f>
        <v/>
      </c>
    </row>
    <row r="18" spans="1:8" x14ac:dyDescent="0.25">
      <c r="A18" s="38">
        <v>17</v>
      </c>
      <c r="C18" s="38" t="str">
        <f>IF(A18&lt;='Pump calculator'!$B$14,LATtab!A18,"")</f>
        <v/>
      </c>
      <c r="D18" s="38" t="str">
        <f>IF(C18="","",(10.583*'Pump calculator'!$B$7*(LATtab!G17/1000)^1.85)/('Pump calculator'!$B$12^1.85*('Pump calculator'!$B$11/1000)^4.87))</f>
        <v/>
      </c>
      <c r="E18" s="115" t="str">
        <f t="shared" si="0"/>
        <v/>
      </c>
      <c r="F18" s="38" t="str">
        <f>IF(C18="","",(0.62*(PI()*(('Pump calculator'!$B$6/2)/1000)^2)*SQRT(2*9.81*E18))*1000)</f>
        <v/>
      </c>
      <c r="G18" s="38" t="str">
        <f t="shared" si="1"/>
        <v/>
      </c>
      <c r="H18" s="38" t="str">
        <f>IF(C18="","",H17+'Pump calculator'!$B$7)</f>
        <v/>
      </c>
    </row>
    <row r="19" spans="1:8" x14ac:dyDescent="0.25">
      <c r="A19" s="38">
        <v>18</v>
      </c>
      <c r="C19" s="38" t="str">
        <f>IF(A19&lt;='Pump calculator'!$B$14,LATtab!A19,"")</f>
        <v/>
      </c>
      <c r="D19" s="38" t="str">
        <f>IF(C19="","",(10.583*'Pump calculator'!$B$7*(LATtab!G18/1000)^1.85)/('Pump calculator'!$B$12^1.85*('Pump calculator'!$B$11/1000)^4.87))</f>
        <v/>
      </c>
      <c r="E19" s="115" t="str">
        <f t="shared" si="0"/>
        <v/>
      </c>
      <c r="F19" s="38" t="str">
        <f>IF(C19="","",(0.62*(PI()*(('Pump calculator'!$B$6/2)/1000)^2)*SQRT(2*9.81*E19))*1000)</f>
        <v/>
      </c>
      <c r="G19" s="38" t="str">
        <f t="shared" si="1"/>
        <v/>
      </c>
      <c r="H19" s="38" t="str">
        <f>IF(C19="","",H18+'Pump calculator'!$B$7)</f>
        <v/>
      </c>
    </row>
    <row r="20" spans="1:8" x14ac:dyDescent="0.25">
      <c r="A20" s="38">
        <v>19</v>
      </c>
      <c r="C20" s="38" t="str">
        <f>IF(A20&lt;='Pump calculator'!$B$14,LATtab!A20,"")</f>
        <v/>
      </c>
      <c r="D20" s="38" t="str">
        <f>IF(C20="","",(10.583*'Pump calculator'!$B$7*(LATtab!G19/1000)^1.85)/('Pump calculator'!$B$12^1.85*('Pump calculator'!$B$11/1000)^4.87))</f>
        <v/>
      </c>
      <c r="E20" s="115" t="str">
        <f t="shared" si="0"/>
        <v/>
      </c>
      <c r="F20" s="38" t="str">
        <f>IF(C20="","",(0.62*(PI()*(('Pump calculator'!$B$6/2)/1000)^2)*SQRT(2*9.81*E20))*1000)</f>
        <v/>
      </c>
      <c r="G20" s="38" t="str">
        <f t="shared" si="1"/>
        <v/>
      </c>
      <c r="H20" s="38" t="str">
        <f>IF(C20="","",H19+'Pump calculator'!$B$7)</f>
        <v/>
      </c>
    </row>
    <row r="21" spans="1:8" x14ac:dyDescent="0.25">
      <c r="A21" s="38">
        <v>20</v>
      </c>
      <c r="C21" s="38" t="str">
        <f>IF(A21&lt;='Pump calculator'!$B$14,LATtab!A21,"")</f>
        <v/>
      </c>
      <c r="D21" s="38" t="str">
        <f>IF(C21="","",(10.583*'Pump calculator'!$B$7*(LATtab!G20/1000)^1.85)/('Pump calculator'!$B$12^1.85*('Pump calculator'!$B$11/1000)^4.87))</f>
        <v/>
      </c>
      <c r="E21" s="115" t="str">
        <f t="shared" si="0"/>
        <v/>
      </c>
      <c r="F21" s="38" t="str">
        <f>IF(C21="","",(0.62*(PI()*(('Pump calculator'!$B$6/2)/1000)^2)*SQRT(2*9.81*E21))*1000)</f>
        <v/>
      </c>
      <c r="G21" s="38" t="str">
        <f t="shared" si="1"/>
        <v/>
      </c>
      <c r="H21" s="38" t="str">
        <f>IF(C21="","",H20+'Pump calculator'!$B$7)</f>
        <v/>
      </c>
    </row>
    <row r="22" spans="1:8" x14ac:dyDescent="0.25">
      <c r="A22" s="38">
        <v>21</v>
      </c>
      <c r="C22" s="38" t="str">
        <f>IF(A22&lt;='Pump calculator'!$B$14,LATtab!A22,"")</f>
        <v/>
      </c>
      <c r="D22" s="38" t="str">
        <f>IF(C22="","",(10.583*'Pump calculator'!$B$7*(LATtab!G21/1000)^1.85)/('Pump calculator'!$B$12^1.85*('Pump calculator'!$B$11/1000)^4.87))</f>
        <v/>
      </c>
      <c r="E22" s="115" t="str">
        <f t="shared" si="0"/>
        <v/>
      </c>
      <c r="F22" s="38" t="str">
        <f>IF(C22="","",(0.62*(PI()*(('Pump calculator'!$B$6/2)/1000)^2)*SQRT(2*9.81*'Pump calculator'!$B$10))*1000)</f>
        <v/>
      </c>
      <c r="G22" s="38" t="str">
        <f t="shared" si="1"/>
        <v/>
      </c>
      <c r="H22" s="38" t="str">
        <f>IF(C22="","",H21+'Pump calculator'!$B$7)</f>
        <v/>
      </c>
    </row>
    <row r="23" spans="1:8" x14ac:dyDescent="0.25">
      <c r="A23" s="38">
        <v>22</v>
      </c>
      <c r="C23" s="38" t="str">
        <f>IF(A23&lt;='Pump calculator'!$B$14,LATtab!A23,"")</f>
        <v/>
      </c>
      <c r="D23" s="38" t="str">
        <f>IF(C23="","",(10.583*'Pump calculator'!$B$7*(LATtab!G22/1000)^1.85)/('Pump calculator'!$B$12^1.85*('Pump calculator'!$B$11/1000)^4.87))</f>
        <v/>
      </c>
      <c r="E23" s="115" t="str">
        <f t="shared" si="0"/>
        <v/>
      </c>
      <c r="F23" s="38" t="str">
        <f>IF(C23="","",(0.62*(PI()*(('Pump calculator'!$B$6/2)/1000)^2)*SQRT(2*9.81*'Pump calculator'!$B$10))*1000)</f>
        <v/>
      </c>
      <c r="G23" s="38" t="str">
        <f t="shared" si="1"/>
        <v/>
      </c>
      <c r="H23" s="38" t="str">
        <f>IF(C23="","",H22+'Pump calculator'!$B$7)</f>
        <v/>
      </c>
    </row>
    <row r="24" spans="1:8" x14ac:dyDescent="0.25">
      <c r="A24" s="38">
        <v>23</v>
      </c>
      <c r="C24" s="38" t="str">
        <f>IF(A24&lt;='Pump calculator'!$B$14,LATtab!A24,"")</f>
        <v/>
      </c>
      <c r="D24" s="38" t="str">
        <f>IF(C24="","",(10.583*'Pump calculator'!$B$7*(LATtab!G23/1000)^1.85)/('Pump calculator'!$B$12^1.85*('Pump calculator'!$B$11/1000)^4.87))</f>
        <v/>
      </c>
      <c r="E24" s="115" t="str">
        <f t="shared" si="0"/>
        <v/>
      </c>
      <c r="F24" s="38" t="str">
        <f>IF(C24="","",(0.62*(PI()*(('Pump calculator'!$B$6/2)/1000)^2)*SQRT(2*9.81*'Pump calculator'!$B$10))*1000)</f>
        <v/>
      </c>
      <c r="G24" s="38" t="str">
        <f t="shared" si="1"/>
        <v/>
      </c>
      <c r="H24" s="38" t="str">
        <f>IF(C24="","",H23+'Pump calculator'!$B$7)</f>
        <v/>
      </c>
    </row>
    <row r="25" spans="1:8" x14ac:dyDescent="0.25">
      <c r="A25" s="38">
        <v>24</v>
      </c>
      <c r="C25" s="38" t="str">
        <f>IF(A25&lt;='Pump calculator'!$B$14,LATtab!A25,"")</f>
        <v/>
      </c>
      <c r="D25" s="38" t="str">
        <f>IF(C25="","",(10.583*'Pump calculator'!$B$7*(LATtab!G24/1000)^1.85)/('Pump calculator'!$B$12^1.85*('Pump calculator'!$B$11/1000)^4.87))</f>
        <v/>
      </c>
      <c r="E25" s="115" t="str">
        <f t="shared" si="0"/>
        <v/>
      </c>
      <c r="F25" s="38" t="str">
        <f>IF(C25="","",(0.62*(PI()*(('Pump calculator'!$B$6/2)/1000)^2)*SQRT(2*9.81*'Pump calculator'!$B$10))*1000)</f>
        <v/>
      </c>
      <c r="G25" s="38" t="str">
        <f t="shared" si="1"/>
        <v/>
      </c>
      <c r="H25" s="38" t="str">
        <f>IF(C25="","",H24+'Pump calculator'!$B$7)</f>
        <v/>
      </c>
    </row>
    <row r="26" spans="1:8" x14ac:dyDescent="0.25">
      <c r="A26" s="38">
        <v>25</v>
      </c>
      <c r="C26" s="38" t="str">
        <f>IF(A26&lt;='Pump calculator'!$B$14,LATtab!A26,"")</f>
        <v/>
      </c>
      <c r="D26" s="38" t="str">
        <f>IF(C26="","",(10.583*'Pump calculator'!$B$7*(LATtab!G25/1000)^1.85)/('Pump calculator'!$B$12^1.85*('Pump calculator'!$B$11/1000)^4.87))</f>
        <v/>
      </c>
      <c r="E26" s="115" t="str">
        <f t="shared" si="0"/>
        <v/>
      </c>
      <c r="F26" s="38" t="str">
        <f>IF(C26="","",(0.62*(PI()*(('Pump calculator'!$B$6/2)/1000)^2)*SQRT(2*9.81*'Pump calculator'!$B$10))*1000)</f>
        <v/>
      </c>
      <c r="G26" s="38" t="str">
        <f t="shared" si="1"/>
        <v/>
      </c>
      <c r="H26" s="38" t="str">
        <f>IF(C26="","",H25+'Pump calculator'!$B$7)</f>
        <v/>
      </c>
    </row>
    <row r="27" spans="1:8" x14ac:dyDescent="0.25">
      <c r="A27" s="38">
        <v>26</v>
      </c>
      <c r="C27" s="38" t="str">
        <f>IF(A27&lt;='Pump calculator'!$B$14,LATtab!A27,"")</f>
        <v/>
      </c>
      <c r="D27" s="38" t="str">
        <f>IF(C27="","",(10.583*'Pump calculator'!$B$7*(LATtab!G26/1000)^1.85)/('Pump calculator'!$B$12^1.85*('Pump calculator'!$B$11/1000)^4.87))</f>
        <v/>
      </c>
      <c r="E27" s="115" t="str">
        <f t="shared" si="0"/>
        <v/>
      </c>
      <c r="F27" s="38" t="str">
        <f>IF(C27="","",(0.62*(PI()*(('Pump calculator'!$B$6/2)/1000)^2)*SQRT(2*9.81*'Pump calculator'!$B$10))*1000)</f>
        <v/>
      </c>
      <c r="G27" s="38" t="str">
        <f t="shared" si="1"/>
        <v/>
      </c>
      <c r="H27" s="38" t="str">
        <f>IF(C27="","",H26+'Pump calculator'!$B$7)</f>
        <v/>
      </c>
    </row>
    <row r="28" spans="1:8" x14ac:dyDescent="0.25">
      <c r="A28" s="38">
        <v>27</v>
      </c>
      <c r="C28" s="38" t="str">
        <f>IF(A28&lt;='Pump calculator'!$B$14,LATtab!A28,"")</f>
        <v/>
      </c>
      <c r="D28" s="38" t="str">
        <f>IF(C28="","",(10.583*'Pump calculator'!$B$7*(LATtab!G27/1000)^1.85)/('Pump calculator'!$B$12^1.85*('Pump calculator'!$B$11/1000)^4.87))</f>
        <v/>
      </c>
      <c r="E28" s="115" t="str">
        <f t="shared" si="0"/>
        <v/>
      </c>
      <c r="F28" s="38" t="str">
        <f>IF(C28="","",(0.62*(PI()*(('Pump calculator'!$B$6/2)/1000)^2)*SQRT(2*9.81*'Pump calculator'!$B$10))*1000)</f>
        <v/>
      </c>
      <c r="G28" s="38" t="str">
        <f t="shared" si="1"/>
        <v/>
      </c>
      <c r="H28" s="38" t="str">
        <f>IF(C28="","",H27+'Pump calculator'!$B$7)</f>
        <v/>
      </c>
    </row>
    <row r="29" spans="1:8" x14ac:dyDescent="0.25">
      <c r="A29" s="38">
        <v>28</v>
      </c>
      <c r="C29" s="38" t="str">
        <f>IF(A29&lt;='Pump calculator'!$B$14,LATtab!A29,"")</f>
        <v/>
      </c>
      <c r="D29" s="38" t="str">
        <f>IF(C29="","",(10.583*'Pump calculator'!$B$7*(LATtab!G28/1000)^1.85)/('Pump calculator'!$B$12^1.85*('Pump calculator'!$B$11/1000)^4.87))</f>
        <v/>
      </c>
      <c r="E29" s="115" t="str">
        <f t="shared" si="0"/>
        <v/>
      </c>
      <c r="F29" s="38" t="str">
        <f>IF(C29="","",(0.62*(PI()*(('Pump calculator'!$B$6/2)/1000)^2)*SQRT(2*9.81*'Pump calculator'!$B$10))*1000)</f>
        <v/>
      </c>
      <c r="G29" s="38" t="str">
        <f t="shared" si="1"/>
        <v/>
      </c>
      <c r="H29" s="38" t="str">
        <f>IF(C29="","",H28+'Pump calculator'!$B$7)</f>
        <v/>
      </c>
    </row>
    <row r="30" spans="1:8" x14ac:dyDescent="0.25">
      <c r="A30" s="38">
        <v>29</v>
      </c>
      <c r="C30" s="38" t="str">
        <f>IF(A30&lt;='Pump calculator'!$B$14,LATtab!A30,"")</f>
        <v/>
      </c>
      <c r="D30" s="38" t="str">
        <f>IF(C30="","",(10.583*'Pump calculator'!$B$7*(LATtab!G29/1000)^1.85)/('Pump calculator'!$B$12^1.85*('Pump calculator'!$B$11/1000)^4.87))</f>
        <v/>
      </c>
      <c r="E30" s="115" t="str">
        <f t="shared" si="0"/>
        <v/>
      </c>
      <c r="F30" s="38" t="str">
        <f>IF(C30="","",(0.62*(PI()*(('Pump calculator'!$B$6/2)/1000)^2)*SQRT(2*9.81*'Pump calculator'!$B$10))*1000)</f>
        <v/>
      </c>
      <c r="G30" s="38" t="str">
        <f t="shared" si="1"/>
        <v/>
      </c>
      <c r="H30" s="38" t="str">
        <f>IF(C30="","",H29+'Pump calculator'!$B$7)</f>
        <v/>
      </c>
    </row>
    <row r="31" spans="1:8" x14ac:dyDescent="0.25">
      <c r="A31" s="38">
        <v>30</v>
      </c>
      <c r="C31" s="38" t="str">
        <f>IF(A31&lt;='Pump calculator'!$B$14,LATtab!A31,"")</f>
        <v/>
      </c>
      <c r="D31" s="38" t="str">
        <f>IF(C31="","",(10.583*'Pump calculator'!$B$7*(LATtab!G30/1000)^1.85)/('Pump calculator'!$B$12^1.85*('Pump calculator'!$B$11/1000)^4.87))</f>
        <v/>
      </c>
      <c r="E31" s="115" t="str">
        <f t="shared" si="0"/>
        <v/>
      </c>
      <c r="F31" s="38" t="str">
        <f>IF(C31="","",(0.62*(PI()*(('Pump calculator'!$B$6/2)/1000)^2)*SQRT(2*9.81*'Pump calculator'!$B$10))*1000)</f>
        <v/>
      </c>
      <c r="G31" s="38" t="str">
        <f t="shared" si="1"/>
        <v/>
      </c>
      <c r="H31" s="38" t="str">
        <f>IF(C31="","",H30+'Pump calculator'!$B$7)</f>
        <v/>
      </c>
    </row>
    <row r="32" spans="1:8" x14ac:dyDescent="0.25">
      <c r="A32" s="38">
        <v>31</v>
      </c>
      <c r="C32" s="38" t="str">
        <f>IF(A32&lt;='Pump calculator'!$B$14,LATtab!A32,"")</f>
        <v/>
      </c>
      <c r="D32" s="38" t="str">
        <f>IF(C32="","",(10.583*'Pump calculator'!$B$7*(LATtab!G31/1000)^1.85)/('Pump calculator'!$B$12^1.85*('Pump calculator'!$B$11/1000)^4.87))</f>
        <v/>
      </c>
      <c r="E32" s="115" t="str">
        <f t="shared" si="0"/>
        <v/>
      </c>
      <c r="F32" s="38" t="str">
        <f>IF(C32="","",(0.62*(PI()*(('Pump calculator'!$B$6/2)/1000)^2)*SQRT(2*9.81*'Pump calculator'!$B$10))*1000)</f>
        <v/>
      </c>
      <c r="G32" s="38" t="str">
        <f t="shared" si="1"/>
        <v/>
      </c>
      <c r="H32" s="38" t="str">
        <f>IF(C32="","",H31+'Pump calculator'!$B$7)</f>
        <v/>
      </c>
    </row>
    <row r="33" spans="1:8" x14ac:dyDescent="0.25">
      <c r="A33" s="38">
        <v>32</v>
      </c>
      <c r="C33" s="38" t="str">
        <f>IF(A33&lt;='Pump calculator'!$B$14,LATtab!A33,"")</f>
        <v/>
      </c>
      <c r="D33" s="38" t="str">
        <f>IF(C33="","",(10.583*'Pump calculator'!$B$7*(LATtab!G32/1000)^1.85)/('Pump calculator'!$B$12^1.85*('Pump calculator'!$B$11/1000)^4.87))</f>
        <v/>
      </c>
      <c r="E33" s="115" t="str">
        <f t="shared" si="0"/>
        <v/>
      </c>
      <c r="F33" s="38" t="str">
        <f>IF(C33="","",(0.62*(PI()*(('Pump calculator'!$B$6/2)/1000)^2)*SQRT(2*9.81*'Pump calculator'!$B$10))*1000)</f>
        <v/>
      </c>
      <c r="G33" s="38" t="str">
        <f t="shared" si="1"/>
        <v/>
      </c>
      <c r="H33" s="38" t="str">
        <f>IF(C33="","",H32+'Pump calculator'!$B$7)</f>
        <v/>
      </c>
    </row>
    <row r="34" spans="1:8" x14ac:dyDescent="0.25">
      <c r="A34" s="38">
        <v>33</v>
      </c>
      <c r="C34" s="38" t="str">
        <f>IF(A34&lt;='Pump calculator'!$B$14,LATtab!A34,"")</f>
        <v/>
      </c>
      <c r="D34" s="38" t="str">
        <f>IF(C34="","",(10.583*'Pump calculator'!$B$7*(LATtab!G33/1000)^1.85)/('Pump calculator'!$B$12^1.85*('Pump calculator'!$B$11/1000)^4.87))</f>
        <v/>
      </c>
      <c r="E34" s="115" t="str">
        <f t="shared" si="0"/>
        <v/>
      </c>
      <c r="F34" s="38" t="str">
        <f>IF(C34="","",(0.62*(PI()*(('Pump calculator'!$B$6/2)/1000)^2)*SQRT(2*9.81*'Pump calculator'!$B$10))*1000)</f>
        <v/>
      </c>
      <c r="G34" s="38" t="str">
        <f t="shared" si="1"/>
        <v/>
      </c>
      <c r="H34" s="38" t="str">
        <f>IF(C34="","",H33+'Pump calculator'!$B$7)</f>
        <v/>
      </c>
    </row>
    <row r="35" spans="1:8" x14ac:dyDescent="0.25">
      <c r="A35" s="38">
        <v>34</v>
      </c>
      <c r="C35" s="38" t="str">
        <f>IF(A35&lt;='Pump calculator'!$B$14,LATtab!A35,"")</f>
        <v/>
      </c>
      <c r="D35" s="38" t="str">
        <f>IF(C35="","",(10.583*'Pump calculator'!$B$7*(LATtab!G34/1000)^1.85)/('Pump calculator'!$B$12^1.85*('Pump calculator'!$B$11/1000)^4.87))</f>
        <v/>
      </c>
      <c r="E35" s="115" t="str">
        <f t="shared" si="0"/>
        <v/>
      </c>
      <c r="F35" s="38" t="str">
        <f>IF(C35="","",(0.62*(PI()*(('Pump calculator'!$B$6/2)/1000)^2)*SQRT(2*9.81*'Pump calculator'!$B$10))*1000)</f>
        <v/>
      </c>
      <c r="G35" s="38" t="str">
        <f t="shared" si="1"/>
        <v/>
      </c>
      <c r="H35" s="38" t="str">
        <f>IF(C35="","",H34+'Pump calculator'!$B$7)</f>
        <v/>
      </c>
    </row>
    <row r="36" spans="1:8" x14ac:dyDescent="0.25">
      <c r="A36" s="38">
        <v>35</v>
      </c>
      <c r="C36" s="38" t="str">
        <f>IF(A36&lt;='Pump calculator'!$B$14,LATtab!A36,"")</f>
        <v/>
      </c>
      <c r="D36" s="38" t="str">
        <f>IF(C36="","",(10.583*'Pump calculator'!$B$7*(LATtab!G35/1000)^1.85)/('Pump calculator'!$B$12^1.85*('Pump calculator'!$B$11/1000)^4.87))</f>
        <v/>
      </c>
      <c r="E36" s="115" t="str">
        <f t="shared" si="0"/>
        <v/>
      </c>
      <c r="F36" s="38" t="str">
        <f>IF(C36="","",(0.62*(PI()*(('Pump calculator'!$B$6/2)/1000)^2)*SQRT(2*9.81*'Pump calculator'!$B$10))*1000)</f>
        <v/>
      </c>
      <c r="G36" s="38" t="str">
        <f t="shared" si="1"/>
        <v/>
      </c>
      <c r="H36" s="38" t="str">
        <f>IF(C36="","",H35+'Pump calculator'!$B$7)</f>
        <v/>
      </c>
    </row>
    <row r="37" spans="1:8" x14ac:dyDescent="0.25">
      <c r="A37" s="38">
        <v>36</v>
      </c>
      <c r="C37" s="38" t="str">
        <f>IF(A37&lt;='Pump calculator'!$B$14,LATtab!A37,"")</f>
        <v/>
      </c>
      <c r="D37" s="38" t="str">
        <f>IF(C37="","",(10.583*'Pump calculator'!$B$7*(LATtab!G36/1000)^1.85)/('Pump calculator'!$B$12^1.85*('Pump calculator'!$B$11/1000)^4.87))</f>
        <v/>
      </c>
      <c r="E37" s="115" t="str">
        <f t="shared" si="0"/>
        <v/>
      </c>
      <c r="F37" s="38" t="str">
        <f>IF(C37="","",(0.62*(PI()*(('Pump calculator'!$B$6/2)/1000)^2)*SQRT(2*9.81*'Pump calculator'!$B$10))*1000)</f>
        <v/>
      </c>
      <c r="G37" s="38" t="str">
        <f t="shared" si="1"/>
        <v/>
      </c>
      <c r="H37" s="38" t="str">
        <f>IF(C37="","",H36+'Pump calculator'!$B$7)</f>
        <v/>
      </c>
    </row>
    <row r="38" spans="1:8" x14ac:dyDescent="0.25">
      <c r="A38" s="38">
        <v>37</v>
      </c>
      <c r="C38" s="38" t="str">
        <f>IF(A38&lt;='Pump calculator'!$B$14,LATtab!A38,"")</f>
        <v/>
      </c>
      <c r="D38" s="38" t="str">
        <f>IF(C38="","",(10.583*'Pump calculator'!$B$7*(LATtab!G37/1000)^1.85)/('Pump calculator'!$B$12^1.85*('Pump calculator'!$B$11/1000)^4.87))</f>
        <v/>
      </c>
      <c r="E38" s="115" t="str">
        <f t="shared" si="0"/>
        <v/>
      </c>
      <c r="F38" s="38" t="str">
        <f>IF(C38="","",(0.62*(PI()*(('Pump calculator'!$B$6/2)/1000)^2)*SQRT(2*9.81*'Pump calculator'!$B$10))*1000)</f>
        <v/>
      </c>
      <c r="G38" s="38" t="str">
        <f t="shared" si="1"/>
        <v/>
      </c>
      <c r="H38" s="38" t="str">
        <f>IF(C38="","",H37+'Pump calculator'!$B$7)</f>
        <v/>
      </c>
    </row>
    <row r="39" spans="1:8" x14ac:dyDescent="0.25">
      <c r="A39" s="38">
        <v>38</v>
      </c>
      <c r="C39" s="38" t="str">
        <f>IF(A39&lt;='Pump calculator'!$B$14,LATtab!A39,"")</f>
        <v/>
      </c>
      <c r="D39" s="38" t="str">
        <f>IF(C39="","",(10.583*'Pump calculator'!$B$7*(LATtab!G38/1000)^1.85)/('Pump calculator'!$B$12^1.85*('Pump calculator'!$B$11/1000)^4.87))</f>
        <v/>
      </c>
      <c r="E39" s="115" t="str">
        <f t="shared" si="0"/>
        <v/>
      </c>
      <c r="F39" s="38" t="str">
        <f>IF(C39="","",(0.62*(PI()*(('Pump calculator'!$B$6/2)/1000)^2)*SQRT(2*9.81*'Pump calculator'!$B$10))*1000)</f>
        <v/>
      </c>
      <c r="G39" s="38" t="str">
        <f t="shared" si="1"/>
        <v/>
      </c>
      <c r="H39" s="38" t="str">
        <f>IF(C39="","",H38+'Pump calculator'!$B$7)</f>
        <v/>
      </c>
    </row>
    <row r="40" spans="1:8" x14ac:dyDescent="0.25">
      <c r="A40" s="38">
        <v>39</v>
      </c>
      <c r="C40" s="38" t="str">
        <f>IF(A40&lt;='Pump calculator'!$B$14,LATtab!A40,"")</f>
        <v/>
      </c>
      <c r="D40" s="38" t="str">
        <f>IF(C40="","",(10.583*'Pump calculator'!$B$7*(LATtab!G39/1000)^1.85)/('Pump calculator'!$B$12^1.85*('Pump calculator'!$B$11/1000)^4.87))</f>
        <v/>
      </c>
      <c r="E40" s="115" t="str">
        <f t="shared" si="0"/>
        <v/>
      </c>
      <c r="F40" s="38" t="str">
        <f>IF(C40="","",(0.62*(PI()*(('Pump calculator'!$B$6/2)/1000)^2)*SQRT(2*9.81*'Pump calculator'!$B$10))*1000)</f>
        <v/>
      </c>
      <c r="G40" s="38" t="str">
        <f t="shared" si="1"/>
        <v/>
      </c>
      <c r="H40" s="38" t="str">
        <f>IF(C40="","",H39+'Pump calculator'!$B$7)</f>
        <v/>
      </c>
    </row>
    <row r="41" spans="1:8" x14ac:dyDescent="0.25">
      <c r="A41" s="38">
        <v>40</v>
      </c>
      <c r="C41" s="38" t="str">
        <f>IF(A41&lt;='Pump calculator'!$B$14,LATtab!A41,"")</f>
        <v/>
      </c>
      <c r="D41" s="38" t="str">
        <f>IF(C41="","",(10.583*'Pump calculator'!$B$7*(LATtab!G40/1000)^1.85)/('Pump calculator'!$B$12^1.85*('Pump calculator'!$B$11/1000)^4.87))</f>
        <v/>
      </c>
      <c r="E41" s="115" t="str">
        <f t="shared" si="0"/>
        <v/>
      </c>
      <c r="F41" s="38" t="str">
        <f>IF(C41="","",(0.62*(PI()*(('Pump calculator'!$B$6/2)/1000)^2)*SQRT(2*9.81*'Pump calculator'!$B$10))*1000)</f>
        <v/>
      </c>
      <c r="G41" s="38" t="str">
        <f t="shared" si="1"/>
        <v/>
      </c>
      <c r="H41" s="38" t="str">
        <f>IF(C41="","",H40+'Pump calculator'!$B$7)</f>
        <v/>
      </c>
    </row>
    <row r="42" spans="1:8" x14ac:dyDescent="0.25">
      <c r="A42" s="38">
        <v>41</v>
      </c>
      <c r="C42" s="38" t="str">
        <f>IF(A42&lt;='Pump calculator'!$B$14,LATtab!A42,"")</f>
        <v/>
      </c>
      <c r="D42" s="38" t="str">
        <f>IF(C42="","",(10.583*'Pump calculator'!$B$7*(LATtab!G41/1000)^1.85)/('Pump calculator'!$B$12^1.85*('Pump calculator'!$B$11/1000)^4.87))</f>
        <v/>
      </c>
      <c r="E42" s="115" t="str">
        <f t="shared" si="0"/>
        <v/>
      </c>
      <c r="F42" s="38" t="str">
        <f>IF(C42="","",(0.62*(PI()*(('Pump calculator'!$B$6/2)/1000)^2)*SQRT(2*9.81*'Pump calculator'!$B$10))*1000)</f>
        <v/>
      </c>
      <c r="G42" s="38" t="str">
        <f t="shared" si="1"/>
        <v/>
      </c>
      <c r="H42" s="38" t="str">
        <f>IF(C42="","",H41+'Pump calculator'!$B$7)</f>
        <v/>
      </c>
    </row>
    <row r="43" spans="1:8" x14ac:dyDescent="0.25">
      <c r="A43" s="38">
        <v>42</v>
      </c>
      <c r="C43" s="38" t="str">
        <f>IF(A43&lt;='Pump calculator'!$B$14,LATtab!A43,"")</f>
        <v/>
      </c>
      <c r="D43" s="38" t="str">
        <f>IF(C43="","",(10.583*'Pump calculator'!$B$7*(LATtab!G42/1000)^1.85)/('Pump calculator'!$B$12^1.85*('Pump calculator'!$B$11/1000)^4.87))</f>
        <v/>
      </c>
      <c r="E43" s="115" t="str">
        <f t="shared" si="0"/>
        <v/>
      </c>
      <c r="F43" s="38" t="str">
        <f>IF(C43="","",(0.62*(PI()*(('Pump calculator'!$B$6/2)/1000)^2)*SQRT(2*9.81*'Pump calculator'!$B$10))*1000)</f>
        <v/>
      </c>
      <c r="G43" s="38" t="str">
        <f t="shared" si="1"/>
        <v/>
      </c>
      <c r="H43" s="38" t="str">
        <f>IF(C43="","",H42+'Pump calculator'!$B$7)</f>
        <v/>
      </c>
    </row>
    <row r="44" spans="1:8" x14ac:dyDescent="0.25">
      <c r="A44" s="38">
        <v>43</v>
      </c>
      <c r="C44" s="38" t="str">
        <f>IF(A44&lt;='Pump calculator'!$B$14,LATtab!A44,"")</f>
        <v/>
      </c>
      <c r="D44" s="38" t="str">
        <f>IF(C44="","",(10.583*'Pump calculator'!$B$7*(LATtab!G43/1000)^1.85)/('Pump calculator'!$B$12^1.85*('Pump calculator'!$B$11/1000)^4.87))</f>
        <v/>
      </c>
      <c r="E44" s="115" t="str">
        <f t="shared" si="0"/>
        <v/>
      </c>
      <c r="F44" s="38" t="str">
        <f>IF(C44="","",(0.62*(PI()*(('Pump calculator'!$B$6/2)/1000)^2)*SQRT(2*9.81*'Pump calculator'!$B$10))*1000)</f>
        <v/>
      </c>
      <c r="G44" s="38" t="str">
        <f t="shared" si="1"/>
        <v/>
      </c>
      <c r="H44" s="38" t="str">
        <f>IF(C44="","",H43+'Pump calculator'!$B$7)</f>
        <v/>
      </c>
    </row>
    <row r="45" spans="1:8" x14ac:dyDescent="0.25">
      <c r="A45" s="38">
        <v>44</v>
      </c>
      <c r="C45" s="38" t="str">
        <f>IF(A45&lt;='Pump calculator'!$B$14,LATtab!A45,"")</f>
        <v/>
      </c>
      <c r="D45" s="38" t="str">
        <f>IF(C45="","",(10.583*'Pump calculator'!$B$7*(LATtab!G44/1000)^1.85)/('Pump calculator'!$B$12^1.85*('Pump calculator'!$B$11/1000)^4.87))</f>
        <v/>
      </c>
      <c r="E45" s="115" t="str">
        <f t="shared" si="0"/>
        <v/>
      </c>
      <c r="F45" s="38" t="str">
        <f>IF(C45="","",(0.62*(PI()*(('Pump calculator'!$B$6/2)/1000)^2)*SQRT(2*9.81*'Pump calculator'!$B$10))*1000)</f>
        <v/>
      </c>
      <c r="G45" s="38" t="str">
        <f t="shared" si="1"/>
        <v/>
      </c>
      <c r="H45" s="38" t="str">
        <f>IF(C45="","",H44+'Pump calculator'!$B$7)</f>
        <v/>
      </c>
    </row>
    <row r="46" spans="1:8" x14ac:dyDescent="0.25">
      <c r="A46" s="38">
        <v>45</v>
      </c>
      <c r="C46" s="38" t="str">
        <f>IF(A46&lt;='Pump calculator'!$B$14,LATtab!A46,"")</f>
        <v/>
      </c>
      <c r="D46" s="38" t="str">
        <f>IF(C46="","",(10.583*'Pump calculator'!$B$7*(LATtab!G45/1000)^1.85)/('Pump calculator'!$B$12^1.85*('Pump calculator'!$B$11/1000)^4.87))</f>
        <v/>
      </c>
      <c r="E46" s="115" t="str">
        <f t="shared" si="0"/>
        <v/>
      </c>
      <c r="F46" s="38" t="str">
        <f>IF(C46="","",(0.62*(PI()*(('Pump calculator'!$B$6/2)/1000)^2)*SQRT(2*9.81*'Pump calculator'!$B$10))*1000)</f>
        <v/>
      </c>
      <c r="G46" s="38" t="str">
        <f t="shared" si="1"/>
        <v/>
      </c>
      <c r="H46" s="38" t="str">
        <f>IF(C46="","",H45+'Pump calculator'!$B$7)</f>
        <v/>
      </c>
    </row>
    <row r="47" spans="1:8" x14ac:dyDescent="0.25">
      <c r="A47" s="38">
        <v>46</v>
      </c>
      <c r="C47" s="38" t="str">
        <f>IF(A47&lt;='Pump calculator'!$B$14,LATtab!A47,"")</f>
        <v/>
      </c>
      <c r="D47" s="38" t="str">
        <f>IF(C47="","",(10.583*'Pump calculator'!$B$7*(LATtab!G46/1000)^1.85)/('Pump calculator'!$B$12^1.85*('Pump calculator'!$B$11/1000)^4.87))</f>
        <v/>
      </c>
      <c r="E47" s="115" t="str">
        <f t="shared" si="0"/>
        <v/>
      </c>
      <c r="F47" s="38" t="str">
        <f>IF(C47="","",(0.62*(PI()*(('Pump calculator'!$B$6/2)/1000)^2)*SQRT(2*9.81*'Pump calculator'!$B$10))*1000)</f>
        <v/>
      </c>
      <c r="G47" s="38" t="str">
        <f t="shared" si="1"/>
        <v/>
      </c>
      <c r="H47" s="38" t="str">
        <f>IF(C47="","",H46+'Pump calculator'!$B$7)</f>
        <v/>
      </c>
    </row>
    <row r="48" spans="1:8" x14ac:dyDescent="0.25">
      <c r="A48" s="38">
        <v>47</v>
      </c>
      <c r="C48" s="38" t="str">
        <f>IF(A48&lt;='Pump calculator'!$B$14,LATtab!A48,"")</f>
        <v/>
      </c>
      <c r="D48" s="38" t="str">
        <f>IF(C48="","",(10.583*'Pump calculator'!$B$7*(LATtab!G47/1000)^1.85)/('Pump calculator'!$B$12^1.85*('Pump calculator'!$B$11/1000)^4.87))</f>
        <v/>
      </c>
      <c r="E48" s="115" t="str">
        <f t="shared" si="0"/>
        <v/>
      </c>
      <c r="F48" s="38" t="str">
        <f>IF(C48="","",(0.62*(PI()*(('Pump calculator'!$B$6/2)/1000)^2)*SQRT(2*9.81*'Pump calculator'!$B$10))*1000)</f>
        <v/>
      </c>
      <c r="G48" s="38" t="str">
        <f t="shared" si="1"/>
        <v/>
      </c>
      <c r="H48" s="38" t="str">
        <f>IF(C48="","",H47+'Pump calculator'!$B$7)</f>
        <v/>
      </c>
    </row>
    <row r="49" spans="1:8" x14ac:dyDescent="0.25">
      <c r="A49" s="38">
        <v>48</v>
      </c>
      <c r="C49" s="38" t="str">
        <f>IF(A49&lt;='Pump calculator'!$B$14,LATtab!A49,"")</f>
        <v/>
      </c>
      <c r="D49" s="38" t="str">
        <f>IF(C49="","",(10.583*'Pump calculator'!$B$7*(LATtab!G48/1000)^1.85)/('Pump calculator'!$B$12^1.85*('Pump calculator'!$B$11/1000)^4.87))</f>
        <v/>
      </c>
      <c r="E49" s="115" t="str">
        <f t="shared" si="0"/>
        <v/>
      </c>
      <c r="F49" s="38" t="str">
        <f>IF(C49="","",(0.62*(PI()*(('Pump calculator'!$B$6/2)/1000)^2)*SQRT(2*9.81*'Pump calculator'!$B$10))*1000)</f>
        <v/>
      </c>
      <c r="G49" s="38" t="str">
        <f t="shared" si="1"/>
        <v/>
      </c>
      <c r="H49" s="38" t="str">
        <f>IF(C49="","",H48+'Pump calculator'!$B$7)</f>
        <v/>
      </c>
    </row>
    <row r="50" spans="1:8" x14ac:dyDescent="0.25">
      <c r="A50" s="38">
        <v>49</v>
      </c>
      <c r="C50" s="38" t="str">
        <f>IF(A50&lt;='Pump calculator'!$B$14,LATtab!A50,"")</f>
        <v/>
      </c>
      <c r="D50" s="38" t="str">
        <f>IF(C50="","",(10.583*'Pump calculator'!$B$7*(LATtab!G49/1000)^1.85)/('Pump calculator'!$B$12^1.85*('Pump calculator'!$B$11/1000)^4.87))</f>
        <v/>
      </c>
      <c r="E50" s="115" t="str">
        <f t="shared" si="0"/>
        <v/>
      </c>
      <c r="F50" s="38" t="str">
        <f>IF(C50="","",(0.62*(PI()*(('Pump calculator'!$B$6/2)/1000)^2)*SQRT(2*9.81*'Pump calculator'!$B$10))*1000)</f>
        <v/>
      </c>
      <c r="G50" s="38" t="str">
        <f t="shared" si="1"/>
        <v/>
      </c>
      <c r="H50" s="38" t="str">
        <f>IF(C50="","",H49+'Pump calculator'!$B$7)</f>
        <v/>
      </c>
    </row>
    <row r="51" spans="1:8" x14ac:dyDescent="0.25">
      <c r="A51" s="38">
        <v>50</v>
      </c>
      <c r="C51" s="38" t="str">
        <f>IF(A51&lt;='Pump calculator'!$B$14,LATtab!A51,"")</f>
        <v/>
      </c>
      <c r="D51" s="38" t="str">
        <f>IF(C51="","",(10.583*'Pump calculator'!$B$7*(LATtab!G50/1000)^1.85)/('Pump calculator'!$B$12^1.85*('Pump calculator'!$B$11/1000)^4.87))</f>
        <v/>
      </c>
      <c r="E51" s="115" t="str">
        <f t="shared" si="0"/>
        <v/>
      </c>
      <c r="F51" s="38" t="str">
        <f>IF(C51="","",(0.62*(PI()*(('Pump calculator'!$B$6/2)/1000)^2)*SQRT(2*9.81*'Pump calculator'!$B$10))*1000)</f>
        <v/>
      </c>
      <c r="G51" s="38" t="str">
        <f t="shared" si="1"/>
        <v/>
      </c>
      <c r="H51" s="38" t="str">
        <f>IF(C51="","",H50+'Pump calculator'!$B$7)</f>
        <v/>
      </c>
    </row>
    <row r="52" spans="1:8" x14ac:dyDescent="0.25">
      <c r="A52" s="38">
        <v>51</v>
      </c>
      <c r="C52" s="38" t="str">
        <f>IF(A52&lt;='Pump calculator'!$B$14,LATtab!A52,"")</f>
        <v/>
      </c>
      <c r="D52" s="38" t="str">
        <f>IF(C52="","",(10.583*'Pump calculator'!$B$7*(LATtab!G51/1000)^1.85)/('Pump calculator'!$B$12^1.85*('Pump calculator'!$B$11/1000)^4.87))</f>
        <v/>
      </c>
      <c r="E52" s="115" t="str">
        <f t="shared" si="0"/>
        <v/>
      </c>
      <c r="F52" s="38" t="str">
        <f>IF(C52="","",(0.62*(PI()*(('Pump calculator'!$B$6/2)/1000)^2)*SQRT(2*9.81*'Pump calculator'!$B$10))*1000)</f>
        <v/>
      </c>
      <c r="G52" s="38" t="str">
        <f t="shared" si="1"/>
        <v/>
      </c>
      <c r="H52" s="38" t="str">
        <f>IF(C52="","",H51+'Pump calculator'!$B$7)</f>
        <v/>
      </c>
    </row>
    <row r="53" spans="1:8" x14ac:dyDescent="0.25">
      <c r="A53" s="38">
        <v>52</v>
      </c>
      <c r="C53" s="38" t="str">
        <f>IF(A53&lt;='Pump calculator'!$B$14,LATtab!A53,"")</f>
        <v/>
      </c>
      <c r="D53" s="38" t="str">
        <f>IF(C53="","",(10.583*'Pump calculator'!$B$7*(LATtab!G52/1000)^1.85)/('Pump calculator'!$B$12^1.85*('Pump calculator'!$B$11/1000)^4.87))</f>
        <v/>
      </c>
      <c r="E53" s="115" t="str">
        <f t="shared" si="0"/>
        <v/>
      </c>
      <c r="F53" s="38" t="str">
        <f>IF(C53="","",(0.62*(PI()*(('Pump calculator'!$B$6/2)/1000)^2)*SQRT(2*9.81*'Pump calculator'!$B$10))*1000)</f>
        <v/>
      </c>
      <c r="G53" s="38" t="str">
        <f t="shared" si="1"/>
        <v/>
      </c>
      <c r="H53" s="38" t="str">
        <f>IF(C53="","",H52+'Pump calculator'!$B$7)</f>
        <v/>
      </c>
    </row>
    <row r="54" spans="1:8" x14ac:dyDescent="0.25">
      <c r="A54" s="38">
        <v>53</v>
      </c>
      <c r="C54" s="38" t="str">
        <f>IF(A54&lt;='Pump calculator'!$B$14,LATtab!A54,"")</f>
        <v/>
      </c>
      <c r="D54" s="38" t="str">
        <f>IF(C54="","",(10.583*'Pump calculator'!$B$7*(LATtab!G53/1000)^1.85)/('Pump calculator'!$B$12^1.85*('Pump calculator'!$B$11/1000)^4.87))</f>
        <v/>
      </c>
      <c r="E54" s="115" t="str">
        <f t="shared" si="0"/>
        <v/>
      </c>
      <c r="F54" s="38" t="str">
        <f>IF(C54="","",(0.62*(PI()*(('Pump calculator'!$B$6/2)/1000)^2)*SQRT(2*9.81*'Pump calculator'!$B$10))*1000)</f>
        <v/>
      </c>
      <c r="G54" s="38" t="str">
        <f t="shared" si="1"/>
        <v/>
      </c>
      <c r="H54" s="38" t="str">
        <f>IF(C54="","",H53+'Pump calculator'!$B$7)</f>
        <v/>
      </c>
    </row>
    <row r="55" spans="1:8" x14ac:dyDescent="0.25">
      <c r="A55" s="38">
        <v>54</v>
      </c>
      <c r="C55" s="38" t="str">
        <f>IF(A55&lt;='Pump calculator'!$B$14,LATtab!A55,"")</f>
        <v/>
      </c>
      <c r="D55" s="38" t="str">
        <f>IF(C55="","",(10.583*'Pump calculator'!$B$7*(LATtab!G54/1000)^1.85)/('Pump calculator'!$B$12^1.85*('Pump calculator'!$B$11/1000)^4.87))</f>
        <v/>
      </c>
      <c r="E55" s="115" t="str">
        <f t="shared" si="0"/>
        <v/>
      </c>
      <c r="F55" s="38" t="str">
        <f>IF(C55="","",(0.62*(PI()*(('Pump calculator'!$B$6/2)/1000)^2)*SQRT(2*9.81*'Pump calculator'!$B$10))*1000)</f>
        <v/>
      </c>
      <c r="G55" s="38" t="str">
        <f t="shared" si="1"/>
        <v/>
      </c>
      <c r="H55" s="38" t="str">
        <f>IF(C55="","",H54+'Pump calculator'!$B$7)</f>
        <v/>
      </c>
    </row>
    <row r="56" spans="1:8" x14ac:dyDescent="0.25">
      <c r="A56" s="38">
        <v>55</v>
      </c>
      <c r="C56" s="38" t="str">
        <f>IF(A56&lt;='Pump calculator'!$B$14,LATtab!A56,"")</f>
        <v/>
      </c>
      <c r="D56" s="38" t="str">
        <f>IF(C56="","",(10.583*'Pump calculator'!$B$7*(LATtab!G55/1000)^1.85)/('Pump calculator'!$B$12^1.85*('Pump calculator'!$B$11/1000)^4.87))</f>
        <v/>
      </c>
      <c r="E56" s="115" t="str">
        <f t="shared" si="0"/>
        <v/>
      </c>
      <c r="F56" s="38" t="str">
        <f>IF(C56="","",(0.62*(PI()*(('Pump calculator'!$B$6/2)/1000)^2)*SQRT(2*9.81*'Pump calculator'!$B$10))*1000)</f>
        <v/>
      </c>
      <c r="G56" s="38" t="str">
        <f t="shared" si="1"/>
        <v/>
      </c>
      <c r="H56" s="38" t="str">
        <f>IF(C56="","",H55+'Pump calculator'!$B$7)</f>
        <v/>
      </c>
    </row>
    <row r="57" spans="1:8" x14ac:dyDescent="0.25">
      <c r="A57" s="38">
        <v>56</v>
      </c>
      <c r="C57" s="38" t="str">
        <f>IF(A57&lt;='Pump calculator'!$B$14,LATtab!A57,"")</f>
        <v/>
      </c>
      <c r="D57" s="38" t="str">
        <f>IF(C57="","",(10.583*'Pump calculator'!$B$7*(LATtab!G56/1000)^1.85)/('Pump calculator'!$B$12^1.85*('Pump calculator'!$B$11/1000)^4.87))</f>
        <v/>
      </c>
      <c r="E57" s="115" t="str">
        <f t="shared" si="0"/>
        <v/>
      </c>
      <c r="F57" s="38" t="str">
        <f>IF(C57="","",(0.62*(PI()*(('Pump calculator'!$B$6/2)/1000)^2)*SQRT(2*9.81*'Pump calculator'!$B$10))*1000)</f>
        <v/>
      </c>
      <c r="G57" s="38" t="str">
        <f t="shared" si="1"/>
        <v/>
      </c>
      <c r="H57" s="38" t="str">
        <f>IF(C57="","",H56+'Pump calculator'!$B$7)</f>
        <v/>
      </c>
    </row>
    <row r="58" spans="1:8" x14ac:dyDescent="0.25">
      <c r="A58" s="38">
        <v>57</v>
      </c>
      <c r="C58" s="38" t="str">
        <f>IF(A58&lt;='Pump calculator'!$B$14,LATtab!A58,"")</f>
        <v/>
      </c>
      <c r="D58" s="38" t="str">
        <f>IF(C58="","",(10.583*'Pump calculator'!$B$7*(LATtab!G57/1000)^1.85)/('Pump calculator'!$B$12^1.85*('Pump calculator'!$B$11/1000)^4.87))</f>
        <v/>
      </c>
      <c r="E58" s="115" t="str">
        <f t="shared" si="0"/>
        <v/>
      </c>
      <c r="F58" s="38" t="str">
        <f>IF(C58="","",(0.62*(PI()*(('Pump calculator'!$B$6/2)/1000)^2)*SQRT(2*9.81*'Pump calculator'!$B$10))*1000)</f>
        <v/>
      </c>
      <c r="G58" s="38" t="str">
        <f t="shared" si="1"/>
        <v/>
      </c>
      <c r="H58" s="38" t="str">
        <f>IF(C58="","",H57+'Pump calculator'!$B$7)</f>
        <v/>
      </c>
    </row>
    <row r="59" spans="1:8" x14ac:dyDescent="0.25">
      <c r="A59" s="38">
        <v>58</v>
      </c>
      <c r="C59" s="38" t="str">
        <f>IF(A59&lt;='Pump calculator'!$B$14,LATtab!A59,"")</f>
        <v/>
      </c>
      <c r="D59" s="38" t="str">
        <f>IF(C59="","",(10.583*'Pump calculator'!$B$7*(LATtab!G58/1000)^1.85)/('Pump calculator'!$B$12^1.85*('Pump calculator'!$B$11/1000)^4.87))</f>
        <v/>
      </c>
      <c r="E59" s="115" t="str">
        <f t="shared" si="0"/>
        <v/>
      </c>
      <c r="F59" s="38" t="str">
        <f>IF(C59="","",(0.62*(PI()*(('Pump calculator'!$B$6/2)/1000)^2)*SQRT(2*9.81*'Pump calculator'!$B$10))*1000)</f>
        <v/>
      </c>
      <c r="G59" s="38" t="str">
        <f t="shared" si="1"/>
        <v/>
      </c>
      <c r="H59" s="38" t="str">
        <f>IF(C59="","",H58+'Pump calculator'!$B$7)</f>
        <v/>
      </c>
    </row>
    <row r="60" spans="1:8" x14ac:dyDescent="0.25">
      <c r="A60" s="38">
        <v>59</v>
      </c>
      <c r="C60" s="38" t="str">
        <f>IF(A60&lt;='Pump calculator'!$B$14,LATtab!A60,"")</f>
        <v/>
      </c>
      <c r="D60" s="38" t="str">
        <f>IF(C60="","",(10.583*'Pump calculator'!$B$7*(LATtab!G59/1000)^1.85)/('Pump calculator'!$B$12^1.85*('Pump calculator'!$B$11/1000)^4.87))</f>
        <v/>
      </c>
      <c r="E60" s="115" t="str">
        <f t="shared" si="0"/>
        <v/>
      </c>
      <c r="F60" s="38" t="str">
        <f>IF(C60="","",(0.62*(PI()*(('Pump calculator'!$B$6/2)/1000)^2)*SQRT(2*9.81*'Pump calculator'!$B$10))*1000)</f>
        <v/>
      </c>
      <c r="G60" s="38" t="str">
        <f t="shared" si="1"/>
        <v/>
      </c>
      <c r="H60" s="38" t="str">
        <f>IF(C60="","",H59+'Pump calculator'!$B$7)</f>
        <v/>
      </c>
    </row>
    <row r="61" spans="1:8" x14ac:dyDescent="0.25">
      <c r="A61" s="38">
        <v>60</v>
      </c>
      <c r="C61" s="38" t="str">
        <f>IF(A61&lt;='Pump calculator'!$B$14,LATtab!A61,"")</f>
        <v/>
      </c>
      <c r="D61" s="38" t="str">
        <f>IF(C61="","",(10.583*'Pump calculator'!$B$7*(LATtab!G60/1000)^1.85)/('Pump calculator'!$B$12^1.85*('Pump calculator'!$B$11/1000)^4.87))</f>
        <v/>
      </c>
      <c r="E61" s="115" t="str">
        <f t="shared" si="0"/>
        <v/>
      </c>
      <c r="F61" s="38" t="str">
        <f>IF(C61="","",(0.62*(PI()*(('Pump calculator'!$B$6/2)/1000)^2)*SQRT(2*9.81*'Pump calculator'!$B$10))*1000)</f>
        <v/>
      </c>
      <c r="G61" s="38" t="str">
        <f t="shared" si="1"/>
        <v/>
      </c>
      <c r="H61" s="38" t="str">
        <f>IF(C61="","",H60+'Pump calculator'!$B$7)</f>
        <v/>
      </c>
    </row>
    <row r="62" spans="1:8" x14ac:dyDescent="0.25">
      <c r="A62" s="38">
        <v>61</v>
      </c>
      <c r="C62" s="38" t="str">
        <f>IF(A62&lt;='Pump calculator'!$B$14,LATtab!A62,"")</f>
        <v/>
      </c>
      <c r="D62" s="38" t="str">
        <f>IF(C62="","",(10.583*'Pump calculator'!$B$7*(LATtab!G61/1000)^1.85)/('Pump calculator'!$B$12^1.85*('Pump calculator'!$B$11/1000)^4.87))</f>
        <v/>
      </c>
      <c r="E62" s="115" t="str">
        <f t="shared" si="0"/>
        <v/>
      </c>
      <c r="F62" s="38" t="str">
        <f>IF(C62="","",(0.62*(PI()*(('Pump calculator'!$B$6/2)/1000)^2)*SQRT(2*9.81*'Pump calculator'!$B$10))*1000)</f>
        <v/>
      </c>
      <c r="G62" s="38" t="str">
        <f t="shared" si="1"/>
        <v/>
      </c>
      <c r="H62" s="38" t="str">
        <f>IF(C62="","",H61+'Pump calculator'!$B$7)</f>
        <v/>
      </c>
    </row>
    <row r="63" spans="1:8" x14ac:dyDescent="0.25">
      <c r="A63" s="38">
        <v>62</v>
      </c>
      <c r="C63" s="38" t="str">
        <f>IF(A63&lt;='Pump calculator'!$B$14,LATtab!A63,"")</f>
        <v/>
      </c>
      <c r="D63" s="38" t="str">
        <f>IF(C63="","",(10.583*'Pump calculator'!$B$7*(LATtab!G62/1000)^1.85)/('Pump calculator'!$B$12^1.85*('Pump calculator'!$B$11/1000)^4.87))</f>
        <v/>
      </c>
      <c r="E63" s="115" t="str">
        <f t="shared" si="0"/>
        <v/>
      </c>
      <c r="F63" s="38" t="str">
        <f>IF(C63="","",(0.62*(PI()*(('Pump calculator'!$B$6/2)/1000)^2)*SQRT(2*9.81*'Pump calculator'!$B$10))*1000)</f>
        <v/>
      </c>
      <c r="G63" s="38" t="str">
        <f t="shared" si="1"/>
        <v/>
      </c>
      <c r="H63" s="38" t="str">
        <f>IF(C63="","",H62+'Pump calculator'!$B$7)</f>
        <v/>
      </c>
    </row>
    <row r="64" spans="1:8" x14ac:dyDescent="0.25">
      <c r="A64" s="38">
        <v>63</v>
      </c>
      <c r="C64" s="38" t="str">
        <f>IF(A64&lt;='Pump calculator'!$B$14,LATtab!A64,"")</f>
        <v/>
      </c>
      <c r="D64" s="38" t="str">
        <f>IF(C64="","",(10.583*'Pump calculator'!$B$7*(LATtab!G63/1000)^1.85)/('Pump calculator'!$B$12^1.85*('Pump calculator'!$B$11/1000)^4.87))</f>
        <v/>
      </c>
      <c r="E64" s="115" t="str">
        <f t="shared" si="0"/>
        <v/>
      </c>
      <c r="F64" s="38" t="str">
        <f>IF(C64="","",(0.62*(PI()*(('Pump calculator'!$B$6/2)/1000)^2)*SQRT(2*9.81*'Pump calculator'!$B$10))*1000)</f>
        <v/>
      </c>
      <c r="G64" s="38" t="str">
        <f t="shared" si="1"/>
        <v/>
      </c>
      <c r="H64" s="38" t="str">
        <f>IF(C64="","",H63+'Pump calculator'!$B$7)</f>
        <v/>
      </c>
    </row>
    <row r="65" spans="1:8" x14ac:dyDescent="0.25">
      <c r="A65" s="38">
        <v>64</v>
      </c>
      <c r="C65" s="38" t="str">
        <f>IF(A65&lt;='Pump calculator'!$B$14,LATtab!A65,"")</f>
        <v/>
      </c>
      <c r="D65" s="38" t="str">
        <f>IF(C65="","",(10.583*'Pump calculator'!$B$7*(LATtab!G64/1000)^1.85)/('Pump calculator'!$B$12^1.85*('Pump calculator'!$B$11/1000)^4.87))</f>
        <v/>
      </c>
      <c r="E65" s="115" t="str">
        <f t="shared" si="0"/>
        <v/>
      </c>
      <c r="F65" s="38" t="str">
        <f>IF(C65="","",(0.62*(PI()*(('Pump calculator'!$B$6/2)/1000)^2)*SQRT(2*9.81*'Pump calculator'!$B$10))*1000)</f>
        <v/>
      </c>
      <c r="G65" s="38" t="str">
        <f t="shared" si="1"/>
        <v/>
      </c>
      <c r="H65" s="38" t="str">
        <f>IF(C65="","",H64+'Pump calculator'!$B$7)</f>
        <v/>
      </c>
    </row>
    <row r="66" spans="1:8" x14ac:dyDescent="0.25">
      <c r="A66" s="38">
        <v>65</v>
      </c>
      <c r="C66" s="38" t="str">
        <f>IF(A66&lt;='Pump calculator'!$B$14,LATtab!A66,"")</f>
        <v/>
      </c>
      <c r="D66" s="38" t="str">
        <f>IF(C66="","",(10.583*'Pump calculator'!$B$7*(LATtab!G65/1000)^1.85)/('Pump calculator'!$B$12^1.85*('Pump calculator'!$B$11/1000)^4.87))</f>
        <v/>
      </c>
      <c r="E66" s="115" t="str">
        <f t="shared" si="0"/>
        <v/>
      </c>
      <c r="F66" s="38" t="str">
        <f>IF(C66="","",(0.62*(PI()*(('Pump calculator'!$B$6/2)/1000)^2)*SQRT(2*9.81*'Pump calculator'!$B$10))*1000)</f>
        <v/>
      </c>
      <c r="G66" s="38" t="str">
        <f t="shared" si="1"/>
        <v/>
      </c>
      <c r="H66" s="38" t="str">
        <f>IF(C66="","",H65+'Pump calculator'!$B$7)</f>
        <v/>
      </c>
    </row>
    <row r="67" spans="1:8" x14ac:dyDescent="0.25">
      <c r="A67" s="38">
        <v>66</v>
      </c>
      <c r="C67" s="38" t="str">
        <f>IF(A67&lt;='Pump calculator'!$B$14,LATtab!A67,"")</f>
        <v/>
      </c>
      <c r="D67" s="38" t="str">
        <f>IF(C67="","",(10.583*'Pump calculator'!$B$7*(LATtab!G66/1000)^1.85)/('Pump calculator'!$B$12^1.85*('Pump calculator'!$B$11/1000)^4.87))</f>
        <v/>
      </c>
      <c r="E67" s="115" t="str">
        <f t="shared" si="0"/>
        <v/>
      </c>
      <c r="F67" s="38" t="str">
        <f>IF(C67="","",(0.62*(PI()*(('Pump calculator'!$B$6/2)/1000)^2)*SQRT(2*9.81*'Pump calculator'!$B$10))*1000)</f>
        <v/>
      </c>
      <c r="G67" s="38" t="str">
        <f t="shared" si="1"/>
        <v/>
      </c>
      <c r="H67" s="38" t="str">
        <f>IF(C67="","",H66+'Pump calculator'!$B$7)</f>
        <v/>
      </c>
    </row>
    <row r="68" spans="1:8" x14ac:dyDescent="0.25">
      <c r="A68" s="38">
        <v>67</v>
      </c>
      <c r="C68" s="38" t="str">
        <f>IF(A68&lt;='Pump calculator'!$B$14,LATtab!A68,"")</f>
        <v/>
      </c>
      <c r="D68" s="38" t="str">
        <f>IF(C68="","",(10.583*'Pump calculator'!$B$7*(LATtab!G67/1000)^1.85)/('Pump calculator'!$B$12^1.85*('Pump calculator'!$B$11/1000)^4.87))</f>
        <v/>
      </c>
      <c r="E68" s="115" t="str">
        <f t="shared" ref="E68:E131" si="2">IF(C68="","",E67+D68)</f>
        <v/>
      </c>
      <c r="F68" s="38" t="str">
        <f>IF(C68="","",(0.62*(PI()*(('Pump calculator'!$B$6/2)/1000)^2)*SQRT(2*9.81*'Pump calculator'!$B$10))*1000)</f>
        <v/>
      </c>
      <c r="G68" s="38" t="str">
        <f t="shared" ref="G68:G131" si="3">IF(C68="","",F68+G67)</f>
        <v/>
      </c>
      <c r="H68" s="38" t="str">
        <f>IF(C68="","",H67+'Pump calculator'!$B$7)</f>
        <v/>
      </c>
    </row>
    <row r="69" spans="1:8" x14ac:dyDescent="0.25">
      <c r="A69" s="38">
        <v>68</v>
      </c>
      <c r="C69" s="38" t="str">
        <f>IF(A69&lt;='Pump calculator'!$B$14,LATtab!A69,"")</f>
        <v/>
      </c>
      <c r="D69" s="38" t="str">
        <f>IF(C69="","",(10.583*'Pump calculator'!$B$7*(LATtab!G68/1000)^1.85)/('Pump calculator'!$B$12^1.85*('Pump calculator'!$B$11/1000)^4.87))</f>
        <v/>
      </c>
      <c r="E69" s="115" t="str">
        <f t="shared" si="2"/>
        <v/>
      </c>
      <c r="F69" s="38" t="str">
        <f>IF(C69="","",(0.62*(PI()*(('Pump calculator'!$B$6/2)/1000)^2)*SQRT(2*9.81*'Pump calculator'!$B$10))*1000)</f>
        <v/>
      </c>
      <c r="G69" s="38" t="str">
        <f t="shared" si="3"/>
        <v/>
      </c>
      <c r="H69" s="38" t="str">
        <f>IF(C69="","",H68+'Pump calculator'!$B$7)</f>
        <v/>
      </c>
    </row>
    <row r="70" spans="1:8" x14ac:dyDescent="0.25">
      <c r="A70" s="38">
        <v>69</v>
      </c>
      <c r="C70" s="38" t="str">
        <f>IF(A70&lt;='Pump calculator'!$B$14,LATtab!A70,"")</f>
        <v/>
      </c>
      <c r="D70" s="38" t="str">
        <f>IF(C70="","",(10.583*'Pump calculator'!$B$7*(LATtab!G69/1000)^1.85)/('Pump calculator'!$B$12^1.85*('Pump calculator'!$B$11/1000)^4.87))</f>
        <v/>
      </c>
      <c r="E70" s="115" t="str">
        <f t="shared" si="2"/>
        <v/>
      </c>
      <c r="F70" s="38" t="str">
        <f>IF(C70="","",(0.62*(PI()*(('Pump calculator'!$B$6/2)/1000)^2)*SQRT(2*9.81*'Pump calculator'!$B$10))*1000)</f>
        <v/>
      </c>
      <c r="G70" s="38" t="str">
        <f t="shared" si="3"/>
        <v/>
      </c>
      <c r="H70" s="38" t="str">
        <f>IF(C70="","",H69+'Pump calculator'!$B$7)</f>
        <v/>
      </c>
    </row>
    <row r="71" spans="1:8" x14ac:dyDescent="0.25">
      <c r="A71" s="38">
        <v>70</v>
      </c>
      <c r="C71" s="38" t="str">
        <f>IF(A71&lt;='Pump calculator'!$B$14,LATtab!A71,"")</f>
        <v/>
      </c>
      <c r="D71" s="38" t="str">
        <f>IF(C71="","",(10.583*'Pump calculator'!$B$7*(LATtab!G70/1000)^1.85)/('Pump calculator'!$B$12^1.85*('Pump calculator'!$B$11/1000)^4.87))</f>
        <v/>
      </c>
      <c r="E71" s="115" t="str">
        <f t="shared" si="2"/>
        <v/>
      </c>
      <c r="F71" s="38" t="str">
        <f>IF(C71="","",(0.62*(PI()*(('Pump calculator'!$B$6/2)/1000)^2)*SQRT(2*9.81*'Pump calculator'!$B$10))*1000)</f>
        <v/>
      </c>
      <c r="G71" s="38" t="str">
        <f t="shared" si="3"/>
        <v/>
      </c>
      <c r="H71" s="38" t="str">
        <f>IF(C71="","",H70+'Pump calculator'!$B$7)</f>
        <v/>
      </c>
    </row>
    <row r="72" spans="1:8" x14ac:dyDescent="0.25">
      <c r="A72" s="38">
        <v>71</v>
      </c>
      <c r="C72" s="38" t="str">
        <f>IF(A72&lt;='Pump calculator'!$B$14,LATtab!A72,"")</f>
        <v/>
      </c>
      <c r="D72" s="38" t="str">
        <f>IF(C72="","",(10.583*'Pump calculator'!$B$7*(LATtab!G71/1000)^1.85)/('Pump calculator'!$B$12^1.85*('Pump calculator'!$B$11/1000)^4.87))</f>
        <v/>
      </c>
      <c r="E72" s="115" t="str">
        <f t="shared" si="2"/>
        <v/>
      </c>
      <c r="F72" s="38" t="str">
        <f>IF(C72="","",(0.62*(PI()*(('Pump calculator'!$B$6/2)/1000)^2)*SQRT(2*9.81*'Pump calculator'!$B$10))*1000)</f>
        <v/>
      </c>
      <c r="G72" s="38" t="str">
        <f t="shared" si="3"/>
        <v/>
      </c>
      <c r="H72" s="38" t="str">
        <f>IF(C72="","",H71+'Pump calculator'!$B$7)</f>
        <v/>
      </c>
    </row>
    <row r="73" spans="1:8" x14ac:dyDescent="0.25">
      <c r="A73" s="38">
        <v>72</v>
      </c>
      <c r="C73" s="38" t="str">
        <f>IF(A73&lt;='Pump calculator'!$B$14,LATtab!A73,"")</f>
        <v/>
      </c>
      <c r="D73" s="38" t="str">
        <f>IF(C73="","",(10.583*'Pump calculator'!$B$7*(LATtab!G72/1000)^1.85)/('Pump calculator'!$B$12^1.85*('Pump calculator'!$B$11/1000)^4.87))</f>
        <v/>
      </c>
      <c r="E73" s="115" t="str">
        <f t="shared" si="2"/>
        <v/>
      </c>
      <c r="F73" s="38" t="str">
        <f>IF(C73="","",(0.62*(PI()*(('Pump calculator'!$B$6/2)/1000)^2)*SQRT(2*9.81*'Pump calculator'!$B$10))*1000)</f>
        <v/>
      </c>
      <c r="G73" s="38" t="str">
        <f t="shared" si="3"/>
        <v/>
      </c>
      <c r="H73" s="38" t="str">
        <f>IF(C73="","",H72+'Pump calculator'!$B$7)</f>
        <v/>
      </c>
    </row>
    <row r="74" spans="1:8" x14ac:dyDescent="0.25">
      <c r="A74" s="38">
        <v>73</v>
      </c>
      <c r="C74" s="38" t="str">
        <f>IF(A74&lt;='Pump calculator'!$B$14,LATtab!A74,"")</f>
        <v/>
      </c>
      <c r="D74" s="38" t="str">
        <f>IF(C74="","",(10.583*'Pump calculator'!$B$7*(LATtab!G73/1000)^1.85)/('Pump calculator'!$B$12^1.85*('Pump calculator'!$B$11/1000)^4.87))</f>
        <v/>
      </c>
      <c r="E74" s="115" t="str">
        <f t="shared" si="2"/>
        <v/>
      </c>
      <c r="F74" s="38" t="str">
        <f>IF(C74="","",(0.62*(PI()*(('Pump calculator'!$B$6/2)/1000)^2)*SQRT(2*9.81*'Pump calculator'!$B$10))*1000)</f>
        <v/>
      </c>
      <c r="G74" s="38" t="str">
        <f t="shared" si="3"/>
        <v/>
      </c>
      <c r="H74" s="38" t="str">
        <f>IF(C74="","",H73+'Pump calculator'!$B$7)</f>
        <v/>
      </c>
    </row>
    <row r="75" spans="1:8" x14ac:dyDescent="0.25">
      <c r="A75" s="38">
        <v>74</v>
      </c>
      <c r="C75" s="38" t="str">
        <f>IF(A75&lt;='Pump calculator'!$B$14,LATtab!A75,"")</f>
        <v/>
      </c>
      <c r="D75" s="38" t="str">
        <f>IF(C75="","",(10.583*'Pump calculator'!$B$7*(LATtab!G74/1000)^1.85)/('Pump calculator'!$B$12^1.85*('Pump calculator'!$B$11/1000)^4.87))</f>
        <v/>
      </c>
      <c r="E75" s="115" t="str">
        <f t="shared" si="2"/>
        <v/>
      </c>
      <c r="F75" s="38" t="str">
        <f>IF(C75="","",(0.62*(PI()*(('Pump calculator'!$B$6/2)/1000)^2)*SQRT(2*9.81*'Pump calculator'!$B$10))*1000)</f>
        <v/>
      </c>
      <c r="G75" s="38" t="str">
        <f t="shared" si="3"/>
        <v/>
      </c>
      <c r="H75" s="38" t="str">
        <f>IF(C75="","",H74+'Pump calculator'!$B$7)</f>
        <v/>
      </c>
    </row>
    <row r="76" spans="1:8" x14ac:dyDescent="0.25">
      <c r="A76" s="38">
        <v>75</v>
      </c>
      <c r="C76" s="38" t="str">
        <f>IF(A76&lt;='Pump calculator'!$B$14,LATtab!A76,"")</f>
        <v/>
      </c>
      <c r="D76" s="38" t="str">
        <f>IF(C76="","",(10.583*'Pump calculator'!$B$7*(LATtab!G75/1000)^1.85)/('Pump calculator'!$B$12^1.85*('Pump calculator'!$B$11/1000)^4.87))</f>
        <v/>
      </c>
      <c r="E76" s="115" t="str">
        <f t="shared" si="2"/>
        <v/>
      </c>
      <c r="F76" s="38" t="str">
        <f>IF(C76="","",(0.62*(PI()*(('Pump calculator'!$B$6/2)/1000)^2)*SQRT(2*9.81*'Pump calculator'!$B$10))*1000)</f>
        <v/>
      </c>
      <c r="G76" s="38" t="str">
        <f t="shared" si="3"/>
        <v/>
      </c>
      <c r="H76" s="38" t="str">
        <f>IF(C76="","",H75+'Pump calculator'!$B$7)</f>
        <v/>
      </c>
    </row>
    <row r="77" spans="1:8" x14ac:dyDescent="0.25">
      <c r="A77" s="38">
        <v>76</v>
      </c>
      <c r="C77" s="38" t="str">
        <f>IF(A77&lt;='Pump calculator'!$B$14,LATtab!A77,"")</f>
        <v/>
      </c>
      <c r="D77" s="38" t="str">
        <f>IF(C77="","",(10.583*'Pump calculator'!$B$7*(LATtab!G76/1000)^1.85)/('Pump calculator'!$B$12^1.85*('Pump calculator'!$B$11/1000)^4.87))</f>
        <v/>
      </c>
      <c r="E77" s="115" t="str">
        <f t="shared" si="2"/>
        <v/>
      </c>
      <c r="F77" s="38" t="str">
        <f>IF(C77="","",(0.62*(PI()*(('Pump calculator'!$B$6/2)/1000)^2)*SQRT(2*9.81*'Pump calculator'!$B$10))*1000)</f>
        <v/>
      </c>
      <c r="G77" s="38" t="str">
        <f t="shared" si="3"/>
        <v/>
      </c>
      <c r="H77" s="38" t="str">
        <f>IF(C77="","",H76+'Pump calculator'!$B$7)</f>
        <v/>
      </c>
    </row>
    <row r="78" spans="1:8" x14ac:dyDescent="0.25">
      <c r="A78" s="38">
        <v>77</v>
      </c>
      <c r="C78" s="38" t="str">
        <f>IF(A78&lt;='Pump calculator'!$B$14,LATtab!A78,"")</f>
        <v/>
      </c>
      <c r="D78" s="38" t="str">
        <f>IF(C78="","",(10.583*'Pump calculator'!$B$7*(LATtab!G77/1000)^1.85)/('Pump calculator'!$B$12^1.85*('Pump calculator'!$B$11/1000)^4.87))</f>
        <v/>
      </c>
      <c r="E78" s="115" t="str">
        <f t="shared" si="2"/>
        <v/>
      </c>
      <c r="F78" s="38" t="str">
        <f>IF(C78="","",(0.62*(PI()*(('Pump calculator'!$B$6/2)/1000)^2)*SQRT(2*9.81*'Pump calculator'!$B$10))*1000)</f>
        <v/>
      </c>
      <c r="G78" s="38" t="str">
        <f t="shared" si="3"/>
        <v/>
      </c>
      <c r="H78" s="38" t="str">
        <f>IF(C78="","",H77+'Pump calculator'!$B$7)</f>
        <v/>
      </c>
    </row>
    <row r="79" spans="1:8" x14ac:dyDescent="0.25">
      <c r="A79" s="38">
        <v>78</v>
      </c>
      <c r="C79" s="38" t="str">
        <f>IF(A79&lt;='Pump calculator'!$B$14,LATtab!A79,"")</f>
        <v/>
      </c>
      <c r="D79" s="38" t="str">
        <f>IF(C79="","",(10.583*'Pump calculator'!$B$7*(LATtab!G78/1000)^1.85)/('Pump calculator'!$B$12^1.85*('Pump calculator'!$B$11/1000)^4.87))</f>
        <v/>
      </c>
      <c r="E79" s="115" t="str">
        <f t="shared" si="2"/>
        <v/>
      </c>
      <c r="F79" s="38" t="str">
        <f>IF(C79="","",(0.62*(PI()*(('Pump calculator'!$B$6/2)/1000)^2)*SQRT(2*9.81*'Pump calculator'!$B$10))*1000)</f>
        <v/>
      </c>
      <c r="G79" s="38" t="str">
        <f t="shared" si="3"/>
        <v/>
      </c>
      <c r="H79" s="38" t="str">
        <f>IF(C79="","",H78+'Pump calculator'!$B$7)</f>
        <v/>
      </c>
    </row>
    <row r="80" spans="1:8" x14ac:dyDescent="0.25">
      <c r="A80" s="38">
        <v>79</v>
      </c>
      <c r="C80" s="38" t="str">
        <f>IF(A80&lt;='Pump calculator'!$B$14,LATtab!A80,"")</f>
        <v/>
      </c>
      <c r="D80" s="38" t="str">
        <f>IF(C80="","",(10.583*'Pump calculator'!$B$7*(LATtab!G79/1000)^1.85)/('Pump calculator'!$B$12^1.85*('Pump calculator'!$B$11/1000)^4.87))</f>
        <v/>
      </c>
      <c r="E80" s="115" t="str">
        <f t="shared" si="2"/>
        <v/>
      </c>
      <c r="F80" s="38" t="str">
        <f>IF(C80="","",(0.62*(PI()*(('Pump calculator'!$B$6/2)/1000)^2)*SQRT(2*9.81*'Pump calculator'!$B$10))*1000)</f>
        <v/>
      </c>
      <c r="G80" s="38" t="str">
        <f t="shared" si="3"/>
        <v/>
      </c>
      <c r="H80" s="38" t="str">
        <f>IF(C80="","",H79+'Pump calculator'!$B$7)</f>
        <v/>
      </c>
    </row>
    <row r="81" spans="1:8" x14ac:dyDescent="0.25">
      <c r="A81" s="38">
        <v>80</v>
      </c>
      <c r="C81" s="38" t="str">
        <f>IF(A81&lt;='Pump calculator'!$B$14,LATtab!A81,"")</f>
        <v/>
      </c>
      <c r="D81" s="38" t="str">
        <f>IF(C81="","",(10.583*'Pump calculator'!$B$7*(LATtab!G80/1000)^1.85)/('Pump calculator'!$B$12^1.85*('Pump calculator'!$B$11/1000)^4.87))</f>
        <v/>
      </c>
      <c r="E81" s="115" t="str">
        <f t="shared" si="2"/>
        <v/>
      </c>
      <c r="F81" s="38" t="str">
        <f>IF(C81="","",(0.62*(PI()*(('Pump calculator'!$B$6/2)/1000)^2)*SQRT(2*9.81*'Pump calculator'!$B$10))*1000)</f>
        <v/>
      </c>
      <c r="G81" s="38" t="str">
        <f t="shared" si="3"/>
        <v/>
      </c>
      <c r="H81" s="38" t="str">
        <f>IF(C81="","",H80+'Pump calculator'!$B$7)</f>
        <v/>
      </c>
    </row>
    <row r="82" spans="1:8" x14ac:dyDescent="0.25">
      <c r="A82" s="38">
        <v>81</v>
      </c>
      <c r="C82" s="38" t="str">
        <f>IF(A82&lt;='Pump calculator'!$B$14,LATtab!A82,"")</f>
        <v/>
      </c>
      <c r="D82" s="38" t="str">
        <f>IF(C82="","",(10.583*'Pump calculator'!$B$7*(LATtab!G81/1000)^1.85)/('Pump calculator'!$B$12^1.85*('Pump calculator'!$B$11/1000)^4.87))</f>
        <v/>
      </c>
      <c r="E82" s="115" t="str">
        <f t="shared" si="2"/>
        <v/>
      </c>
      <c r="F82" s="38" t="str">
        <f>IF(C82="","",(0.62*(PI()*(('Pump calculator'!$B$6/2)/1000)^2)*SQRT(2*9.81*'Pump calculator'!$B$10))*1000)</f>
        <v/>
      </c>
      <c r="G82" s="38" t="str">
        <f t="shared" si="3"/>
        <v/>
      </c>
      <c r="H82" s="38" t="str">
        <f>IF(C82="","",H81+'Pump calculator'!$B$7)</f>
        <v/>
      </c>
    </row>
    <row r="83" spans="1:8" x14ac:dyDescent="0.25">
      <c r="A83" s="38">
        <v>82</v>
      </c>
      <c r="C83" s="38" t="str">
        <f>IF(A83&lt;='Pump calculator'!$B$14,LATtab!A83,"")</f>
        <v/>
      </c>
      <c r="D83" s="38" t="str">
        <f>IF(C83="","",(10.583*'Pump calculator'!$B$7*(LATtab!G82/1000)^1.85)/('Pump calculator'!$B$12^1.85*('Pump calculator'!$B$11/1000)^4.87))</f>
        <v/>
      </c>
      <c r="E83" s="115" t="str">
        <f t="shared" si="2"/>
        <v/>
      </c>
      <c r="F83" s="38" t="str">
        <f>IF(C83="","",(0.62*(PI()*(('Pump calculator'!$B$6/2)/1000)^2)*SQRT(2*9.81*'Pump calculator'!$B$10))*1000)</f>
        <v/>
      </c>
      <c r="G83" s="38" t="str">
        <f t="shared" si="3"/>
        <v/>
      </c>
      <c r="H83" s="38" t="str">
        <f>IF(C83="","",H82+'Pump calculator'!$B$7)</f>
        <v/>
      </c>
    </row>
    <row r="84" spans="1:8" x14ac:dyDescent="0.25">
      <c r="A84" s="38">
        <v>83</v>
      </c>
      <c r="C84" s="38" t="str">
        <f>IF(A84&lt;='Pump calculator'!$B$14,LATtab!A84,"")</f>
        <v/>
      </c>
      <c r="D84" s="38" t="str">
        <f>IF(C84="","",(10.583*'Pump calculator'!$B$7*(LATtab!G83/1000)^1.85)/('Pump calculator'!$B$12^1.85*('Pump calculator'!$B$11/1000)^4.87))</f>
        <v/>
      </c>
      <c r="E84" s="115" t="str">
        <f t="shared" si="2"/>
        <v/>
      </c>
      <c r="F84" s="38" t="str">
        <f>IF(C84="","",(0.62*(PI()*(('Pump calculator'!$B$6/2)/1000)^2)*SQRT(2*9.81*'Pump calculator'!$B$10))*1000)</f>
        <v/>
      </c>
      <c r="G84" s="38" t="str">
        <f t="shared" si="3"/>
        <v/>
      </c>
      <c r="H84" s="38" t="str">
        <f>IF(C84="","",H83+'Pump calculator'!$B$7)</f>
        <v/>
      </c>
    </row>
    <row r="85" spans="1:8" x14ac:dyDescent="0.25">
      <c r="A85" s="38">
        <v>84</v>
      </c>
      <c r="C85" s="38" t="str">
        <f>IF(A85&lt;='Pump calculator'!$B$14,LATtab!A85,"")</f>
        <v/>
      </c>
      <c r="D85" s="38" t="str">
        <f>IF(C85="","",(10.583*'Pump calculator'!$B$7*(LATtab!G84/1000)^1.85)/('Pump calculator'!$B$12^1.85*('Pump calculator'!$B$11/1000)^4.87))</f>
        <v/>
      </c>
      <c r="E85" s="115" t="str">
        <f t="shared" si="2"/>
        <v/>
      </c>
      <c r="F85" s="38" t="str">
        <f>IF(C85="","",(0.62*(PI()*(('Pump calculator'!$B$6/2)/1000)^2)*SQRT(2*9.81*'Pump calculator'!$B$10))*1000)</f>
        <v/>
      </c>
      <c r="G85" s="38" t="str">
        <f t="shared" si="3"/>
        <v/>
      </c>
      <c r="H85" s="38" t="str">
        <f>IF(C85="","",H84+'Pump calculator'!$B$7)</f>
        <v/>
      </c>
    </row>
    <row r="86" spans="1:8" x14ac:dyDescent="0.25">
      <c r="A86" s="38">
        <v>85</v>
      </c>
      <c r="C86" s="38" t="str">
        <f>IF(A86&lt;='Pump calculator'!$B$14,LATtab!A86,"")</f>
        <v/>
      </c>
      <c r="D86" s="38" t="str">
        <f>IF(C86="","",(10.583*'Pump calculator'!$B$7*(LATtab!G85/1000)^1.85)/('Pump calculator'!$B$12^1.85*('Pump calculator'!$B$11/1000)^4.87))</f>
        <v/>
      </c>
      <c r="E86" s="115" t="str">
        <f t="shared" si="2"/>
        <v/>
      </c>
      <c r="F86" s="38" t="str">
        <f>IF(C86="","",(0.62*(PI()*(('Pump calculator'!$B$6/2)/1000)^2)*SQRT(2*9.81*'Pump calculator'!$B$10))*1000)</f>
        <v/>
      </c>
      <c r="G86" s="38" t="str">
        <f t="shared" si="3"/>
        <v/>
      </c>
      <c r="H86" s="38" t="str">
        <f>IF(C86="","",H85+'Pump calculator'!$B$7)</f>
        <v/>
      </c>
    </row>
    <row r="87" spans="1:8" x14ac:dyDescent="0.25">
      <c r="A87" s="38">
        <v>86</v>
      </c>
      <c r="C87" s="38" t="str">
        <f>IF(A87&lt;='Pump calculator'!$B$14,LATtab!A87,"")</f>
        <v/>
      </c>
      <c r="D87" s="38" t="str">
        <f>IF(C87="","",(10.583*'Pump calculator'!$B$7*(LATtab!G86/1000)^1.85)/('Pump calculator'!$B$12^1.85*('Pump calculator'!$B$11/1000)^4.87))</f>
        <v/>
      </c>
      <c r="E87" s="115" t="str">
        <f t="shared" si="2"/>
        <v/>
      </c>
      <c r="F87" s="38" t="str">
        <f>IF(C87="","",(0.62*(PI()*(('Pump calculator'!$B$6/2)/1000)^2)*SQRT(2*9.81*'Pump calculator'!$B$10))*1000)</f>
        <v/>
      </c>
      <c r="G87" s="38" t="str">
        <f t="shared" si="3"/>
        <v/>
      </c>
      <c r="H87" s="38" t="str">
        <f>IF(C87="","",H86+'Pump calculator'!$B$7)</f>
        <v/>
      </c>
    </row>
    <row r="88" spans="1:8" x14ac:dyDescent="0.25">
      <c r="A88" s="38">
        <v>87</v>
      </c>
      <c r="C88" s="38" t="str">
        <f>IF(A88&lt;='Pump calculator'!$B$14,LATtab!A88,"")</f>
        <v/>
      </c>
      <c r="D88" s="38" t="str">
        <f>IF(C88="","",(10.583*'Pump calculator'!$B$7*(LATtab!G87/1000)^1.85)/('Pump calculator'!$B$12^1.85*('Pump calculator'!$B$11/1000)^4.87))</f>
        <v/>
      </c>
      <c r="E88" s="115" t="str">
        <f t="shared" si="2"/>
        <v/>
      </c>
      <c r="F88" s="38" t="str">
        <f>IF(C88="","",(0.62*(PI()*(('Pump calculator'!$B$6/2)/1000)^2)*SQRT(2*9.81*'Pump calculator'!$B$10))*1000)</f>
        <v/>
      </c>
      <c r="G88" s="38" t="str">
        <f t="shared" si="3"/>
        <v/>
      </c>
      <c r="H88" s="38" t="str">
        <f>IF(C88="","",H87+'Pump calculator'!$B$7)</f>
        <v/>
      </c>
    </row>
    <row r="89" spans="1:8" x14ac:dyDescent="0.25">
      <c r="A89" s="38">
        <v>88</v>
      </c>
      <c r="C89" s="38" t="str">
        <f>IF(A89&lt;='Pump calculator'!$B$14,LATtab!A89,"")</f>
        <v/>
      </c>
      <c r="D89" s="38" t="str">
        <f>IF(C89="","",(10.583*'Pump calculator'!$B$7*(LATtab!G88/1000)^1.85)/('Pump calculator'!$B$12^1.85*('Pump calculator'!$B$11/1000)^4.87))</f>
        <v/>
      </c>
      <c r="E89" s="115" t="str">
        <f t="shared" si="2"/>
        <v/>
      </c>
      <c r="F89" s="38" t="str">
        <f>IF(C89="","",(0.62*(PI()*(('Pump calculator'!$B$6/2)/1000)^2)*SQRT(2*9.81*'Pump calculator'!$B$10))*1000)</f>
        <v/>
      </c>
      <c r="G89" s="38" t="str">
        <f t="shared" si="3"/>
        <v/>
      </c>
      <c r="H89" s="38" t="str">
        <f>IF(C89="","",H88+'Pump calculator'!$B$7)</f>
        <v/>
      </c>
    </row>
    <row r="90" spans="1:8" x14ac:dyDescent="0.25">
      <c r="A90" s="38">
        <v>89</v>
      </c>
      <c r="C90" s="38" t="str">
        <f>IF(A90&lt;='Pump calculator'!$B$14,LATtab!A90,"")</f>
        <v/>
      </c>
      <c r="D90" s="38" t="str">
        <f>IF(C90="","",(10.583*'Pump calculator'!$B$7*(LATtab!G89/1000)^1.85)/('Pump calculator'!$B$12^1.85*('Pump calculator'!$B$11/1000)^4.87))</f>
        <v/>
      </c>
      <c r="E90" s="115" t="str">
        <f t="shared" si="2"/>
        <v/>
      </c>
      <c r="F90" s="38" t="str">
        <f>IF(C90="","",(0.62*(PI()*(('Pump calculator'!$B$6/2)/1000)^2)*SQRT(2*9.81*'Pump calculator'!$B$10))*1000)</f>
        <v/>
      </c>
      <c r="G90" s="38" t="str">
        <f t="shared" si="3"/>
        <v/>
      </c>
      <c r="H90" s="38" t="str">
        <f>IF(C90="","",H89+'Pump calculator'!$B$7)</f>
        <v/>
      </c>
    </row>
    <row r="91" spans="1:8" x14ac:dyDescent="0.25">
      <c r="A91" s="38">
        <v>90</v>
      </c>
      <c r="C91" s="38" t="str">
        <f>IF(A91&lt;='Pump calculator'!$B$14,LATtab!A91,"")</f>
        <v/>
      </c>
      <c r="D91" s="38" t="str">
        <f>IF(C91="","",(10.583*'Pump calculator'!$B$7*(LATtab!G90/1000)^1.85)/('Pump calculator'!$B$12^1.85*('Pump calculator'!$B$11/1000)^4.87))</f>
        <v/>
      </c>
      <c r="E91" s="115" t="str">
        <f t="shared" si="2"/>
        <v/>
      </c>
      <c r="F91" s="38" t="str">
        <f>IF(C91="","",(0.62*(PI()*(('Pump calculator'!$B$6/2)/1000)^2)*SQRT(2*9.81*'Pump calculator'!$B$10))*1000)</f>
        <v/>
      </c>
      <c r="G91" s="38" t="str">
        <f t="shared" si="3"/>
        <v/>
      </c>
      <c r="H91" s="38" t="str">
        <f>IF(C91="","",H90+'Pump calculator'!$B$7)</f>
        <v/>
      </c>
    </row>
    <row r="92" spans="1:8" x14ac:dyDescent="0.25">
      <c r="A92" s="38">
        <v>91</v>
      </c>
      <c r="C92" s="38" t="str">
        <f>IF(A92&lt;='Pump calculator'!$B$14,LATtab!A92,"")</f>
        <v/>
      </c>
      <c r="D92" s="38" t="str">
        <f>IF(C92="","",(10.583*'Pump calculator'!$B$7*(LATtab!G91/1000)^1.85)/('Pump calculator'!$B$12^1.85*('Pump calculator'!$B$11/1000)^4.87))</f>
        <v/>
      </c>
      <c r="E92" s="115" t="str">
        <f t="shared" si="2"/>
        <v/>
      </c>
      <c r="F92" s="38" t="str">
        <f>IF(C92="","",(0.62*(PI()*(('Pump calculator'!$B$6/2)/1000)^2)*SQRT(2*9.81*'Pump calculator'!$B$10))*1000)</f>
        <v/>
      </c>
      <c r="G92" s="38" t="str">
        <f t="shared" si="3"/>
        <v/>
      </c>
      <c r="H92" s="38" t="str">
        <f>IF(C92="","",H91+'Pump calculator'!$B$7)</f>
        <v/>
      </c>
    </row>
    <row r="93" spans="1:8" x14ac:dyDescent="0.25">
      <c r="A93" s="38">
        <v>92</v>
      </c>
      <c r="C93" s="38" t="str">
        <f>IF(A93&lt;='Pump calculator'!$B$14,LATtab!A93,"")</f>
        <v/>
      </c>
      <c r="D93" s="38" t="str">
        <f>IF(C93="","",(10.583*'Pump calculator'!$B$7*(LATtab!G92/1000)^1.85)/('Pump calculator'!$B$12^1.85*('Pump calculator'!$B$11/1000)^4.87))</f>
        <v/>
      </c>
      <c r="E93" s="115" t="str">
        <f t="shared" si="2"/>
        <v/>
      </c>
      <c r="F93" s="38" t="str">
        <f>IF(C93="","",(0.62*(PI()*(('Pump calculator'!$B$6/2)/1000)^2)*SQRT(2*9.81*'Pump calculator'!$B$10))*1000)</f>
        <v/>
      </c>
      <c r="G93" s="38" t="str">
        <f t="shared" si="3"/>
        <v/>
      </c>
      <c r="H93" s="38" t="str">
        <f>IF(C93="","",H92+'Pump calculator'!$B$7)</f>
        <v/>
      </c>
    </row>
    <row r="94" spans="1:8" x14ac:dyDescent="0.25">
      <c r="A94" s="38">
        <v>93</v>
      </c>
      <c r="C94" s="38" t="str">
        <f>IF(A94&lt;='Pump calculator'!$B$14,LATtab!A94,"")</f>
        <v/>
      </c>
      <c r="D94" s="38" t="str">
        <f>IF(C94="","",(10.583*'Pump calculator'!$B$7*(LATtab!G93/1000)^1.85)/('Pump calculator'!$B$12^1.85*('Pump calculator'!$B$11/1000)^4.87))</f>
        <v/>
      </c>
      <c r="E94" s="115" t="str">
        <f t="shared" si="2"/>
        <v/>
      </c>
      <c r="F94" s="38" t="str">
        <f>IF(C94="","",(0.62*(PI()*(('Pump calculator'!$B$6/2)/1000)^2)*SQRT(2*9.81*'Pump calculator'!$B$10))*1000)</f>
        <v/>
      </c>
      <c r="G94" s="38" t="str">
        <f t="shared" si="3"/>
        <v/>
      </c>
      <c r="H94" s="38" t="str">
        <f>IF(C94="","",H93+'Pump calculator'!$B$7)</f>
        <v/>
      </c>
    </row>
    <row r="95" spans="1:8" x14ac:dyDescent="0.25">
      <c r="A95" s="38">
        <v>94</v>
      </c>
      <c r="C95" s="38" t="str">
        <f>IF(A95&lt;='Pump calculator'!$B$14,LATtab!A95,"")</f>
        <v/>
      </c>
      <c r="D95" s="38" t="str">
        <f>IF(C95="","",(10.583*'Pump calculator'!$B$7*(LATtab!G94/1000)^1.85)/('Pump calculator'!$B$12^1.85*('Pump calculator'!$B$11/1000)^4.87))</f>
        <v/>
      </c>
      <c r="E95" s="115" t="str">
        <f t="shared" si="2"/>
        <v/>
      </c>
      <c r="F95" s="38" t="str">
        <f>IF(C95="","",(0.62*(PI()*(('Pump calculator'!$B$6/2)/1000)^2)*SQRT(2*9.81*'Pump calculator'!$B$10))*1000)</f>
        <v/>
      </c>
      <c r="G95" s="38" t="str">
        <f t="shared" si="3"/>
        <v/>
      </c>
      <c r="H95" s="38" t="str">
        <f>IF(C95="","",H94+'Pump calculator'!$B$7)</f>
        <v/>
      </c>
    </row>
    <row r="96" spans="1:8" x14ac:dyDescent="0.25">
      <c r="A96" s="38">
        <v>95</v>
      </c>
      <c r="C96" s="38" t="str">
        <f>IF(A96&lt;='Pump calculator'!$B$14,LATtab!A96,"")</f>
        <v/>
      </c>
      <c r="D96" s="38" t="str">
        <f>IF(C96="","",(10.583*'Pump calculator'!$B$7*(LATtab!G95/1000)^1.85)/('Pump calculator'!$B$12^1.85*('Pump calculator'!$B$11/1000)^4.87))</f>
        <v/>
      </c>
      <c r="E96" s="115" t="str">
        <f t="shared" si="2"/>
        <v/>
      </c>
      <c r="F96" s="38" t="str">
        <f>IF(C96="","",(0.62*(PI()*(('Pump calculator'!$B$6/2)/1000)^2)*SQRT(2*9.81*'Pump calculator'!$B$10))*1000)</f>
        <v/>
      </c>
      <c r="G96" s="38" t="str">
        <f t="shared" si="3"/>
        <v/>
      </c>
      <c r="H96" s="38" t="str">
        <f>IF(C96="","",H95+'Pump calculator'!$B$7)</f>
        <v/>
      </c>
    </row>
    <row r="97" spans="1:8" x14ac:dyDescent="0.25">
      <c r="A97" s="38">
        <v>96</v>
      </c>
      <c r="C97" s="38" t="str">
        <f>IF(A97&lt;='Pump calculator'!$B$14,LATtab!A97,"")</f>
        <v/>
      </c>
      <c r="D97" s="38" t="str">
        <f>IF(C97="","",(10.583*'Pump calculator'!$B$7*(LATtab!G96/1000)^1.85)/('Pump calculator'!$B$12^1.85*('Pump calculator'!$B$11/1000)^4.87))</f>
        <v/>
      </c>
      <c r="E97" s="115" t="str">
        <f t="shared" si="2"/>
        <v/>
      </c>
      <c r="F97" s="38" t="str">
        <f>IF(C97="","",(0.62*(PI()*(('Pump calculator'!$B$6/2)/1000)^2)*SQRT(2*9.81*'Pump calculator'!$B$10))*1000)</f>
        <v/>
      </c>
      <c r="G97" s="38" t="str">
        <f t="shared" si="3"/>
        <v/>
      </c>
      <c r="H97" s="38" t="str">
        <f>IF(C97="","",H96+'Pump calculator'!$B$7)</f>
        <v/>
      </c>
    </row>
    <row r="98" spans="1:8" x14ac:dyDescent="0.25">
      <c r="A98" s="38">
        <v>97</v>
      </c>
      <c r="C98" s="38" t="str">
        <f>IF(A98&lt;='Pump calculator'!$B$14,LATtab!A98,"")</f>
        <v/>
      </c>
      <c r="D98" s="38" t="str">
        <f>IF(C98="","",(10.583*'Pump calculator'!$B$7*(LATtab!G97/1000)^1.85)/('Pump calculator'!$B$12^1.85*('Pump calculator'!$B$11/1000)^4.87))</f>
        <v/>
      </c>
      <c r="E98" s="115" t="str">
        <f t="shared" si="2"/>
        <v/>
      </c>
      <c r="F98" s="38" t="str">
        <f>IF(C98="","",(0.62*(PI()*(('Pump calculator'!$B$6/2)/1000)^2)*SQRT(2*9.81*'Pump calculator'!$B$10))*1000)</f>
        <v/>
      </c>
      <c r="G98" s="38" t="str">
        <f t="shared" si="3"/>
        <v/>
      </c>
      <c r="H98" s="38" t="str">
        <f>IF(C98="","",H97+'Pump calculator'!$B$7)</f>
        <v/>
      </c>
    </row>
    <row r="99" spans="1:8" x14ac:dyDescent="0.25">
      <c r="A99" s="38">
        <v>98</v>
      </c>
      <c r="C99" s="38" t="str">
        <f>IF(A99&lt;='Pump calculator'!$B$14,LATtab!A99,"")</f>
        <v/>
      </c>
      <c r="D99" s="38" t="str">
        <f>IF(C99="","",(10.583*'Pump calculator'!$B$7*(LATtab!G98/1000)^1.85)/('Pump calculator'!$B$12^1.85*('Pump calculator'!$B$11/1000)^4.87))</f>
        <v/>
      </c>
      <c r="E99" s="115" t="str">
        <f t="shared" si="2"/>
        <v/>
      </c>
      <c r="F99" s="38" t="str">
        <f>IF(C99="","",(0.62*(PI()*(('Pump calculator'!$B$6/2)/1000)^2)*SQRT(2*9.81*'Pump calculator'!$B$10))*1000)</f>
        <v/>
      </c>
      <c r="G99" s="38" t="str">
        <f t="shared" si="3"/>
        <v/>
      </c>
      <c r="H99" s="38" t="str">
        <f>IF(C99="","",H98+'Pump calculator'!$B$7)</f>
        <v/>
      </c>
    </row>
    <row r="100" spans="1:8" x14ac:dyDescent="0.25">
      <c r="A100" s="38">
        <v>99</v>
      </c>
      <c r="C100" s="38" t="str">
        <f>IF(A100&lt;='Pump calculator'!$B$14,LATtab!A100,"")</f>
        <v/>
      </c>
      <c r="D100" s="38" t="str">
        <f>IF(C100="","",(10.583*'Pump calculator'!$B$7*(LATtab!G99/1000)^1.85)/('Pump calculator'!$B$12^1.85*('Pump calculator'!$B$11/1000)^4.87))</f>
        <v/>
      </c>
      <c r="E100" s="115" t="str">
        <f t="shared" si="2"/>
        <v/>
      </c>
      <c r="F100" s="38" t="str">
        <f>IF(C100="","",(0.62*(PI()*(('Pump calculator'!$B$6/2)/1000)^2)*SQRT(2*9.81*'Pump calculator'!$B$10))*1000)</f>
        <v/>
      </c>
      <c r="G100" s="38" t="str">
        <f t="shared" si="3"/>
        <v/>
      </c>
      <c r="H100" s="38" t="str">
        <f>IF(C100="","",H99+'Pump calculator'!$B$7)</f>
        <v/>
      </c>
    </row>
    <row r="101" spans="1:8" x14ac:dyDescent="0.25">
      <c r="A101" s="38">
        <v>100</v>
      </c>
      <c r="C101" s="38" t="str">
        <f>IF(A101&lt;='Pump calculator'!$B$14,LATtab!A101,"")</f>
        <v/>
      </c>
      <c r="D101" s="38" t="str">
        <f>IF(C101="","",(10.583*'Pump calculator'!$B$7*(LATtab!G100/1000)^1.85)/('Pump calculator'!$B$12^1.85*('Pump calculator'!$B$11/1000)^4.87))</f>
        <v/>
      </c>
      <c r="E101" s="115" t="str">
        <f t="shared" si="2"/>
        <v/>
      </c>
      <c r="F101" s="38" t="str">
        <f>IF(C101="","",(0.62*(PI()*(('Pump calculator'!$B$6/2)/1000)^2)*SQRT(2*9.81*'Pump calculator'!$B$10))*1000)</f>
        <v/>
      </c>
      <c r="G101" s="38" t="str">
        <f t="shared" si="3"/>
        <v/>
      </c>
      <c r="H101" s="38" t="str">
        <f>IF(C101="","",H100+'Pump calculator'!$B$7)</f>
        <v/>
      </c>
    </row>
    <row r="102" spans="1:8" x14ac:dyDescent="0.25">
      <c r="A102" s="38">
        <v>101</v>
      </c>
      <c r="C102" s="38" t="str">
        <f>IF(A102&lt;='Pump calculator'!$B$14,LATtab!A102,"")</f>
        <v/>
      </c>
      <c r="D102" s="38" t="str">
        <f>IF(C102="","",(10.583*'Pump calculator'!$B$7*(LATtab!G101/1000)^1.85)/('Pump calculator'!$B$12^1.85*('Pump calculator'!$B$11/1000)^4.87))</f>
        <v/>
      </c>
      <c r="E102" s="115" t="str">
        <f t="shared" si="2"/>
        <v/>
      </c>
      <c r="F102" s="38" t="str">
        <f>IF(C102="","",(0.62*(PI()*(('Pump calculator'!$B$6/2)/1000)^2)*SQRT(2*9.81*'Pump calculator'!$B$10))*1000)</f>
        <v/>
      </c>
      <c r="G102" s="38" t="str">
        <f t="shared" si="3"/>
        <v/>
      </c>
      <c r="H102" s="38" t="str">
        <f>IF(C102="","",H101+'Pump calculator'!$B$7)</f>
        <v/>
      </c>
    </row>
    <row r="103" spans="1:8" x14ac:dyDescent="0.25">
      <c r="A103" s="38">
        <v>102</v>
      </c>
      <c r="C103" s="38" t="str">
        <f>IF(A103&lt;='Pump calculator'!$B$14,LATtab!A103,"")</f>
        <v/>
      </c>
      <c r="D103" s="38" t="str">
        <f>IF(C103="","",(10.583*'Pump calculator'!$B$7*(LATtab!G102/1000)^1.85)/('Pump calculator'!$B$12^1.85*('Pump calculator'!$B$11/1000)^4.87))</f>
        <v/>
      </c>
      <c r="E103" s="115" t="str">
        <f t="shared" si="2"/>
        <v/>
      </c>
      <c r="F103" s="38" t="str">
        <f>IF(C103="","",(0.62*(PI()*(('Pump calculator'!$B$6/2)/1000)^2)*SQRT(2*9.81*'Pump calculator'!$B$10))*1000)</f>
        <v/>
      </c>
      <c r="G103" s="38" t="str">
        <f t="shared" si="3"/>
        <v/>
      </c>
      <c r="H103" s="38" t="str">
        <f>IF(C103="","",H102+'Pump calculator'!$B$7)</f>
        <v/>
      </c>
    </row>
    <row r="104" spans="1:8" x14ac:dyDescent="0.25">
      <c r="A104" s="38">
        <v>103</v>
      </c>
      <c r="C104" s="38" t="str">
        <f>IF(A104&lt;='Pump calculator'!$B$14,LATtab!A104,"")</f>
        <v/>
      </c>
      <c r="D104" s="38" t="str">
        <f>IF(C104="","",(10.583*'Pump calculator'!$B$7*(LATtab!G103/1000)^1.85)/('Pump calculator'!$B$12^1.85*('Pump calculator'!$B$11/1000)^4.87))</f>
        <v/>
      </c>
      <c r="E104" s="115" t="str">
        <f t="shared" si="2"/>
        <v/>
      </c>
      <c r="F104" s="38" t="str">
        <f>IF(C104="","",(0.62*(PI()*(('Pump calculator'!$B$6/2)/1000)^2)*SQRT(2*9.81*'Pump calculator'!$B$10))*1000)</f>
        <v/>
      </c>
      <c r="G104" s="38" t="str">
        <f t="shared" si="3"/>
        <v/>
      </c>
      <c r="H104" s="38" t="str">
        <f>IF(C104="","",H103+'Pump calculator'!$B$7)</f>
        <v/>
      </c>
    </row>
    <row r="105" spans="1:8" x14ac:dyDescent="0.25">
      <c r="A105" s="38">
        <v>104</v>
      </c>
      <c r="C105" s="38" t="str">
        <f>IF(A105&lt;='Pump calculator'!$B$14,LATtab!A105,"")</f>
        <v/>
      </c>
      <c r="D105" s="38" t="str">
        <f>IF(C105="","",(10.583*'Pump calculator'!$B$7*(LATtab!G104/1000)^1.85)/('Pump calculator'!$B$12^1.85*('Pump calculator'!$B$11/1000)^4.87))</f>
        <v/>
      </c>
      <c r="E105" s="115" t="str">
        <f t="shared" si="2"/>
        <v/>
      </c>
      <c r="F105" s="38" t="str">
        <f>IF(C105="","",(0.62*(PI()*(('Pump calculator'!$B$6/2)/1000)^2)*SQRT(2*9.81*'Pump calculator'!$B$10))*1000)</f>
        <v/>
      </c>
      <c r="G105" s="38" t="str">
        <f t="shared" si="3"/>
        <v/>
      </c>
      <c r="H105" s="38" t="str">
        <f>IF(C105="","",H104+'Pump calculator'!$B$7)</f>
        <v/>
      </c>
    </row>
    <row r="106" spans="1:8" x14ac:dyDescent="0.25">
      <c r="A106" s="38">
        <v>105</v>
      </c>
      <c r="C106" s="38" t="str">
        <f>IF(A106&lt;='Pump calculator'!$B$14,LATtab!A106,"")</f>
        <v/>
      </c>
      <c r="D106" s="38" t="str">
        <f>IF(C106="","",(10.583*'Pump calculator'!$B$7*(LATtab!G105/1000)^1.85)/('Pump calculator'!$B$12^1.85*('Pump calculator'!$B$11/1000)^4.87))</f>
        <v/>
      </c>
      <c r="E106" s="115" t="str">
        <f t="shared" si="2"/>
        <v/>
      </c>
      <c r="F106" s="38" t="str">
        <f>IF(C106="","",(0.62*(PI()*(('Pump calculator'!$B$6/2)/1000)^2)*SQRT(2*9.81*'Pump calculator'!$B$10))*1000)</f>
        <v/>
      </c>
      <c r="G106" s="38" t="str">
        <f t="shared" si="3"/>
        <v/>
      </c>
      <c r="H106" s="38" t="str">
        <f>IF(C106="","",H105+'Pump calculator'!$B$7)</f>
        <v/>
      </c>
    </row>
    <row r="107" spans="1:8" x14ac:dyDescent="0.25">
      <c r="A107" s="38">
        <v>106</v>
      </c>
      <c r="C107" s="38" t="str">
        <f>IF(A107&lt;='Pump calculator'!$B$14,LATtab!A107,"")</f>
        <v/>
      </c>
      <c r="D107" s="38" t="str">
        <f>IF(C107="","",(10.583*'Pump calculator'!$B$7*(LATtab!G106/1000)^1.85)/('Pump calculator'!$B$12^1.85*('Pump calculator'!$B$11/1000)^4.87))</f>
        <v/>
      </c>
      <c r="E107" s="115" t="str">
        <f t="shared" si="2"/>
        <v/>
      </c>
      <c r="F107" s="38" t="str">
        <f>IF(C107="","",(0.62*(PI()*(('Pump calculator'!$B$6/2)/1000)^2)*SQRT(2*9.81*'Pump calculator'!$B$10))*1000)</f>
        <v/>
      </c>
      <c r="G107" s="38" t="str">
        <f t="shared" si="3"/>
        <v/>
      </c>
      <c r="H107" s="38" t="str">
        <f>IF(C107="","",H106+'Pump calculator'!$B$7)</f>
        <v/>
      </c>
    </row>
    <row r="108" spans="1:8" x14ac:dyDescent="0.25">
      <c r="A108" s="38">
        <v>107</v>
      </c>
      <c r="C108" s="38" t="str">
        <f>IF(A108&lt;='Pump calculator'!$B$14,LATtab!A108,"")</f>
        <v/>
      </c>
      <c r="D108" s="38" t="str">
        <f>IF(C108="","",(10.583*'Pump calculator'!$B$7*(LATtab!G107/1000)^1.85)/('Pump calculator'!$B$12^1.85*('Pump calculator'!$B$11/1000)^4.87))</f>
        <v/>
      </c>
      <c r="E108" s="115" t="str">
        <f t="shared" si="2"/>
        <v/>
      </c>
      <c r="F108" s="38" t="str">
        <f>IF(C108="","",(0.62*(PI()*(('Pump calculator'!$B$6/2)/1000)^2)*SQRT(2*9.81*'Pump calculator'!$B$10))*1000)</f>
        <v/>
      </c>
      <c r="G108" s="38" t="str">
        <f t="shared" si="3"/>
        <v/>
      </c>
      <c r="H108" s="38" t="str">
        <f>IF(C108="","",H107+'Pump calculator'!$B$7)</f>
        <v/>
      </c>
    </row>
    <row r="109" spans="1:8" x14ac:dyDescent="0.25">
      <c r="A109" s="38">
        <v>108</v>
      </c>
      <c r="C109" s="38" t="str">
        <f>IF(A109&lt;='Pump calculator'!$B$14,LATtab!A109,"")</f>
        <v/>
      </c>
      <c r="D109" s="38" t="str">
        <f>IF(C109="","",(10.583*'Pump calculator'!$B$7*(LATtab!G108/1000)^1.85)/('Pump calculator'!$B$12^1.85*('Pump calculator'!$B$11/1000)^4.87))</f>
        <v/>
      </c>
      <c r="E109" s="115" t="str">
        <f t="shared" si="2"/>
        <v/>
      </c>
      <c r="F109" s="38" t="str">
        <f>IF(C109="","",(0.62*(PI()*(('Pump calculator'!$B$6/2)/1000)^2)*SQRT(2*9.81*'Pump calculator'!$B$10))*1000)</f>
        <v/>
      </c>
      <c r="G109" s="38" t="str">
        <f t="shared" si="3"/>
        <v/>
      </c>
      <c r="H109" s="38" t="str">
        <f>IF(C109="","",H108+'Pump calculator'!$B$7)</f>
        <v/>
      </c>
    </row>
    <row r="110" spans="1:8" x14ac:dyDescent="0.25">
      <c r="A110" s="38">
        <v>109</v>
      </c>
      <c r="C110" s="38" t="str">
        <f>IF(A110&lt;='Pump calculator'!$B$14,LATtab!A110,"")</f>
        <v/>
      </c>
      <c r="D110" s="38" t="str">
        <f>IF(C110="","",(10.583*'Pump calculator'!$B$7*(LATtab!G109/1000)^1.85)/('Pump calculator'!$B$12^1.85*('Pump calculator'!$B$11/1000)^4.87))</f>
        <v/>
      </c>
      <c r="E110" s="115" t="str">
        <f t="shared" si="2"/>
        <v/>
      </c>
      <c r="F110" s="38" t="str">
        <f>IF(C110="","",(0.62*(PI()*(('Pump calculator'!$B$6/2)/1000)^2)*SQRT(2*9.81*'Pump calculator'!$B$10))*1000)</f>
        <v/>
      </c>
      <c r="G110" s="38" t="str">
        <f t="shared" si="3"/>
        <v/>
      </c>
      <c r="H110" s="38" t="str">
        <f>IF(C110="","",H109+'Pump calculator'!$B$7)</f>
        <v/>
      </c>
    </row>
    <row r="111" spans="1:8" x14ac:dyDescent="0.25">
      <c r="A111" s="38">
        <v>110</v>
      </c>
      <c r="C111" s="38" t="str">
        <f>IF(A111&lt;='Pump calculator'!$B$14,LATtab!A111,"")</f>
        <v/>
      </c>
      <c r="D111" s="38" t="str">
        <f>IF(C111="","",(10.583*'Pump calculator'!$B$7*(LATtab!G110/1000)^1.85)/('Pump calculator'!$B$12^1.85*('Pump calculator'!$B$11/1000)^4.87))</f>
        <v/>
      </c>
      <c r="E111" s="115" t="str">
        <f t="shared" si="2"/>
        <v/>
      </c>
      <c r="F111" s="38" t="str">
        <f>IF(C111="","",(0.62*(PI()*(('Pump calculator'!$B$6/2)/1000)^2)*SQRT(2*9.81*'Pump calculator'!$B$10))*1000)</f>
        <v/>
      </c>
      <c r="G111" s="38" t="str">
        <f t="shared" si="3"/>
        <v/>
      </c>
      <c r="H111" s="38" t="str">
        <f>IF(C111="","",H110+'Pump calculator'!$B$7)</f>
        <v/>
      </c>
    </row>
    <row r="112" spans="1:8" x14ac:dyDescent="0.25">
      <c r="A112" s="38">
        <v>111</v>
      </c>
      <c r="C112" s="38" t="str">
        <f>IF(A112&lt;='Pump calculator'!$B$14,LATtab!A112,"")</f>
        <v/>
      </c>
      <c r="D112" s="38" t="str">
        <f>IF(C112="","",(10.583*'Pump calculator'!$B$7*(LATtab!G111/1000)^1.85)/('Pump calculator'!$B$12^1.85*('Pump calculator'!$B$11/1000)^4.87))</f>
        <v/>
      </c>
      <c r="E112" s="115" t="str">
        <f t="shared" si="2"/>
        <v/>
      </c>
      <c r="F112" s="38" t="str">
        <f>IF(C112="","",(0.62*(PI()*(('Pump calculator'!$B$6/2)/1000)^2)*SQRT(2*9.81*'Pump calculator'!$B$10))*1000)</f>
        <v/>
      </c>
      <c r="G112" s="38" t="str">
        <f t="shared" si="3"/>
        <v/>
      </c>
      <c r="H112" s="38" t="str">
        <f>IF(C112="","",H111+'Pump calculator'!$B$7)</f>
        <v/>
      </c>
    </row>
    <row r="113" spans="1:8" x14ac:dyDescent="0.25">
      <c r="A113" s="38">
        <v>112</v>
      </c>
      <c r="C113" s="38" t="str">
        <f>IF(A113&lt;='Pump calculator'!$B$14,LATtab!A113,"")</f>
        <v/>
      </c>
      <c r="D113" s="38" t="str">
        <f>IF(C113="","",(10.583*'Pump calculator'!$B$7*(LATtab!G112/1000)^1.85)/('Pump calculator'!$B$12^1.85*('Pump calculator'!$B$11/1000)^4.87))</f>
        <v/>
      </c>
      <c r="E113" s="115" t="str">
        <f t="shared" si="2"/>
        <v/>
      </c>
      <c r="F113" s="38" t="str">
        <f>IF(C113="","",(0.62*(PI()*(('Pump calculator'!$B$6/2)/1000)^2)*SQRT(2*9.81*'Pump calculator'!$B$10))*1000)</f>
        <v/>
      </c>
      <c r="G113" s="38" t="str">
        <f t="shared" si="3"/>
        <v/>
      </c>
      <c r="H113" s="38" t="str">
        <f>IF(C113="","",H112+'Pump calculator'!$B$7)</f>
        <v/>
      </c>
    </row>
    <row r="114" spans="1:8" x14ac:dyDescent="0.25">
      <c r="A114" s="38">
        <v>113</v>
      </c>
      <c r="C114" s="38" t="str">
        <f>IF(A114&lt;='Pump calculator'!$B$14,LATtab!A114,"")</f>
        <v/>
      </c>
      <c r="D114" s="38" t="str">
        <f>IF(C114="","",(10.583*'Pump calculator'!$B$7*(LATtab!G113/1000)^1.85)/('Pump calculator'!$B$12^1.85*('Pump calculator'!$B$11/1000)^4.87))</f>
        <v/>
      </c>
      <c r="E114" s="115" t="str">
        <f t="shared" si="2"/>
        <v/>
      </c>
      <c r="F114" s="38" t="str">
        <f>IF(C114="","",(0.62*(PI()*(('Pump calculator'!$B$6/2)/1000)^2)*SQRT(2*9.81*'Pump calculator'!$B$10))*1000)</f>
        <v/>
      </c>
      <c r="G114" s="38" t="str">
        <f t="shared" si="3"/>
        <v/>
      </c>
      <c r="H114" s="38" t="str">
        <f>IF(C114="","",H113+'Pump calculator'!$B$7)</f>
        <v/>
      </c>
    </row>
    <row r="115" spans="1:8" x14ac:dyDescent="0.25">
      <c r="A115" s="38">
        <v>114</v>
      </c>
      <c r="C115" s="38" t="str">
        <f>IF(A115&lt;='Pump calculator'!$B$14,LATtab!A115,"")</f>
        <v/>
      </c>
      <c r="D115" s="38" t="str">
        <f>IF(C115="","",(10.583*'Pump calculator'!$B$7*(LATtab!G114/1000)^1.85)/('Pump calculator'!$B$12^1.85*('Pump calculator'!$B$11/1000)^4.87))</f>
        <v/>
      </c>
      <c r="E115" s="115" t="str">
        <f t="shared" si="2"/>
        <v/>
      </c>
      <c r="F115" s="38" t="str">
        <f>IF(C115="","",(0.62*(PI()*(('Pump calculator'!$B$6/2)/1000)^2)*SQRT(2*9.81*'Pump calculator'!$B$10))*1000)</f>
        <v/>
      </c>
      <c r="G115" s="38" t="str">
        <f t="shared" si="3"/>
        <v/>
      </c>
      <c r="H115" s="38" t="str">
        <f>IF(C115="","",H114+'Pump calculator'!$B$7)</f>
        <v/>
      </c>
    </row>
    <row r="116" spans="1:8" x14ac:dyDescent="0.25">
      <c r="A116" s="38">
        <v>115</v>
      </c>
      <c r="C116" s="38" t="str">
        <f>IF(A116&lt;='Pump calculator'!$B$14,LATtab!A116,"")</f>
        <v/>
      </c>
      <c r="D116" s="38" t="str">
        <f>IF(C116="","",(10.583*'Pump calculator'!$B$7*(LATtab!G115/1000)^1.85)/('Pump calculator'!$B$12^1.85*('Pump calculator'!$B$11/1000)^4.87))</f>
        <v/>
      </c>
      <c r="E116" s="115" t="str">
        <f t="shared" si="2"/>
        <v/>
      </c>
      <c r="F116" s="38" t="str">
        <f>IF(C116="","",(0.62*(PI()*(('Pump calculator'!$B$6/2)/1000)^2)*SQRT(2*9.81*'Pump calculator'!$B$10))*1000)</f>
        <v/>
      </c>
      <c r="G116" s="38" t="str">
        <f t="shared" si="3"/>
        <v/>
      </c>
      <c r="H116" s="38" t="str">
        <f>IF(C116="","",H115+'Pump calculator'!$B$7)</f>
        <v/>
      </c>
    </row>
    <row r="117" spans="1:8" x14ac:dyDescent="0.25">
      <c r="A117" s="38">
        <v>116</v>
      </c>
      <c r="C117" s="38" t="str">
        <f>IF(A117&lt;='Pump calculator'!$B$14,LATtab!A117,"")</f>
        <v/>
      </c>
      <c r="D117" s="38" t="str">
        <f>IF(C117="","",(10.583*'Pump calculator'!$B$7*(LATtab!G116/1000)^1.85)/('Pump calculator'!$B$12^1.85*('Pump calculator'!$B$11/1000)^4.87))</f>
        <v/>
      </c>
      <c r="E117" s="115" t="str">
        <f t="shared" si="2"/>
        <v/>
      </c>
      <c r="F117" s="38" t="str">
        <f>IF(C117="","",(0.62*(PI()*(('Pump calculator'!$B$6/2)/1000)^2)*SQRT(2*9.81*'Pump calculator'!$B$10))*1000)</f>
        <v/>
      </c>
      <c r="G117" s="38" t="str">
        <f t="shared" si="3"/>
        <v/>
      </c>
      <c r="H117" s="38" t="str">
        <f>IF(C117="","",H116+'Pump calculator'!$B$7)</f>
        <v/>
      </c>
    </row>
    <row r="118" spans="1:8" x14ac:dyDescent="0.25">
      <c r="A118" s="38">
        <v>117</v>
      </c>
      <c r="C118" s="38" t="str">
        <f>IF(A118&lt;='Pump calculator'!$B$14,LATtab!A118,"")</f>
        <v/>
      </c>
      <c r="D118" s="38" t="str">
        <f>IF(C118="","",(10.583*'Pump calculator'!$B$7*(LATtab!G117/1000)^1.85)/('Pump calculator'!$B$12^1.85*('Pump calculator'!$B$11/1000)^4.87))</f>
        <v/>
      </c>
      <c r="E118" s="115" t="str">
        <f t="shared" si="2"/>
        <v/>
      </c>
      <c r="F118" s="38" t="str">
        <f>IF(C118="","",(0.62*(PI()*(('Pump calculator'!$B$6/2)/1000)^2)*SQRT(2*9.81*'Pump calculator'!$B$10))*1000)</f>
        <v/>
      </c>
      <c r="G118" s="38" t="str">
        <f t="shared" si="3"/>
        <v/>
      </c>
      <c r="H118" s="38" t="str">
        <f>IF(C118="","",H117+'Pump calculator'!$B$7)</f>
        <v/>
      </c>
    </row>
    <row r="119" spans="1:8" x14ac:dyDescent="0.25">
      <c r="A119" s="38">
        <v>118</v>
      </c>
      <c r="C119" s="38" t="str">
        <f>IF(A119&lt;='Pump calculator'!$B$14,LATtab!A119,"")</f>
        <v/>
      </c>
      <c r="D119" s="38" t="str">
        <f>IF(C119="","",(10.583*'Pump calculator'!$B$7*(LATtab!G118/1000)^1.85)/('Pump calculator'!$B$12^1.85*('Pump calculator'!$B$11/1000)^4.87))</f>
        <v/>
      </c>
      <c r="E119" s="115" t="str">
        <f t="shared" si="2"/>
        <v/>
      </c>
      <c r="F119" s="38" t="str">
        <f>IF(C119="","",(0.62*(PI()*(('Pump calculator'!$B$6/2)/1000)^2)*SQRT(2*9.81*'Pump calculator'!$B$10))*1000)</f>
        <v/>
      </c>
      <c r="G119" s="38" t="str">
        <f t="shared" si="3"/>
        <v/>
      </c>
      <c r="H119" s="38" t="str">
        <f>IF(C119="","",H118+'Pump calculator'!$B$7)</f>
        <v/>
      </c>
    </row>
    <row r="120" spans="1:8" x14ac:dyDescent="0.25">
      <c r="A120" s="38">
        <v>119</v>
      </c>
      <c r="C120" s="38" t="str">
        <f>IF(A120&lt;='Pump calculator'!$B$14,LATtab!A120,"")</f>
        <v/>
      </c>
      <c r="D120" s="38" t="str">
        <f>IF(C120="","",(10.583*'Pump calculator'!$B$7*(LATtab!G119/1000)^1.85)/('Pump calculator'!$B$12^1.85*('Pump calculator'!$B$11/1000)^4.87))</f>
        <v/>
      </c>
      <c r="E120" s="115" t="str">
        <f t="shared" si="2"/>
        <v/>
      </c>
      <c r="F120" s="38" t="str">
        <f>IF(C120="","",(0.62*(PI()*(('Pump calculator'!$B$6/2)/1000)^2)*SQRT(2*9.81*'Pump calculator'!$B$10))*1000)</f>
        <v/>
      </c>
      <c r="G120" s="38" t="str">
        <f t="shared" si="3"/>
        <v/>
      </c>
      <c r="H120" s="38" t="str">
        <f>IF(C120="","",H119+'Pump calculator'!$B$7)</f>
        <v/>
      </c>
    </row>
    <row r="121" spans="1:8" x14ac:dyDescent="0.25">
      <c r="A121" s="38">
        <v>120</v>
      </c>
      <c r="C121" s="38" t="str">
        <f>IF(A121&lt;='Pump calculator'!$B$14,LATtab!A121,"")</f>
        <v/>
      </c>
      <c r="D121" s="38" t="str">
        <f>IF(C121="","",(10.583*'Pump calculator'!$B$7*(LATtab!G120/1000)^1.85)/('Pump calculator'!$B$12^1.85*('Pump calculator'!$B$11/1000)^4.87))</f>
        <v/>
      </c>
      <c r="E121" s="115" t="str">
        <f t="shared" si="2"/>
        <v/>
      </c>
      <c r="F121" s="38" t="str">
        <f>IF(C121="","",(0.62*(PI()*(('Pump calculator'!$B$6/2)/1000)^2)*SQRT(2*9.81*'Pump calculator'!$B$10))*1000)</f>
        <v/>
      </c>
      <c r="G121" s="38" t="str">
        <f t="shared" si="3"/>
        <v/>
      </c>
      <c r="H121" s="38" t="str">
        <f>IF(C121="","",H120+'Pump calculator'!$B$7)</f>
        <v/>
      </c>
    </row>
    <row r="122" spans="1:8" x14ac:dyDescent="0.25">
      <c r="A122" s="38">
        <v>121</v>
      </c>
      <c r="C122" s="38" t="str">
        <f>IF(A122&lt;='Pump calculator'!$B$14,LATtab!A122,"")</f>
        <v/>
      </c>
      <c r="D122" s="38" t="str">
        <f>IF(C122="","",(10.583*'Pump calculator'!$B$7*(LATtab!G121/1000)^1.85)/('Pump calculator'!$B$12^1.85*('Pump calculator'!$B$11/1000)^4.87))</f>
        <v/>
      </c>
      <c r="E122" s="115" t="str">
        <f t="shared" si="2"/>
        <v/>
      </c>
      <c r="F122" s="38" t="str">
        <f>IF(C122="","",(0.62*(PI()*(('Pump calculator'!$B$6/2)/1000)^2)*SQRT(2*9.81*'Pump calculator'!$B$10))*1000)</f>
        <v/>
      </c>
      <c r="G122" s="38" t="str">
        <f t="shared" si="3"/>
        <v/>
      </c>
      <c r="H122" s="38" t="str">
        <f>IF(C122="","",H121+'Pump calculator'!$B$7)</f>
        <v/>
      </c>
    </row>
    <row r="123" spans="1:8" x14ac:dyDescent="0.25">
      <c r="A123" s="38">
        <v>122</v>
      </c>
      <c r="C123" s="38" t="str">
        <f>IF(A123&lt;='Pump calculator'!$B$14,LATtab!A123,"")</f>
        <v/>
      </c>
      <c r="D123" s="38" t="str">
        <f>IF(C123="","",(10.583*'Pump calculator'!$B$7*(LATtab!G122/1000)^1.85)/('Pump calculator'!$B$12^1.85*('Pump calculator'!$B$11/1000)^4.87))</f>
        <v/>
      </c>
      <c r="E123" s="115" t="str">
        <f t="shared" si="2"/>
        <v/>
      </c>
      <c r="F123" s="38" t="str">
        <f>IF(C123="","",(0.62*(PI()*(('Pump calculator'!$B$6/2)/1000)^2)*SQRT(2*9.81*'Pump calculator'!$B$10))*1000)</f>
        <v/>
      </c>
      <c r="G123" s="38" t="str">
        <f t="shared" si="3"/>
        <v/>
      </c>
      <c r="H123" s="38" t="str">
        <f>IF(C123="","",H122+'Pump calculator'!$B$7)</f>
        <v/>
      </c>
    </row>
    <row r="124" spans="1:8" x14ac:dyDescent="0.25">
      <c r="A124" s="38">
        <v>123</v>
      </c>
      <c r="C124" s="38" t="str">
        <f>IF(A124&lt;='Pump calculator'!$B$14,LATtab!A124,"")</f>
        <v/>
      </c>
      <c r="D124" s="38" t="str">
        <f>IF(C124="","",(10.583*'Pump calculator'!$B$7*(LATtab!G123/1000)^1.85)/('Pump calculator'!$B$12^1.85*('Pump calculator'!$B$11/1000)^4.87))</f>
        <v/>
      </c>
      <c r="E124" s="115" t="str">
        <f t="shared" si="2"/>
        <v/>
      </c>
      <c r="F124" s="38" t="str">
        <f>IF(C124="","",(0.62*(PI()*(('Pump calculator'!$B$6/2)/1000)^2)*SQRT(2*9.81*'Pump calculator'!$B$10))*1000)</f>
        <v/>
      </c>
      <c r="G124" s="38" t="str">
        <f t="shared" si="3"/>
        <v/>
      </c>
      <c r="H124" s="38" t="str">
        <f>IF(C124="","",H123+'Pump calculator'!$B$7)</f>
        <v/>
      </c>
    </row>
    <row r="125" spans="1:8" x14ac:dyDescent="0.25">
      <c r="A125" s="38">
        <v>124</v>
      </c>
      <c r="C125" s="38" t="str">
        <f>IF(A125&lt;='Pump calculator'!$B$14,LATtab!A125,"")</f>
        <v/>
      </c>
      <c r="D125" s="38" t="str">
        <f>IF(C125="","",(10.583*'Pump calculator'!$B$7*(LATtab!G124/1000)^1.85)/('Pump calculator'!$B$12^1.85*('Pump calculator'!$B$11/1000)^4.87))</f>
        <v/>
      </c>
      <c r="E125" s="115" t="str">
        <f t="shared" si="2"/>
        <v/>
      </c>
      <c r="F125" s="38" t="str">
        <f>IF(C125="","",(0.62*(PI()*(('Pump calculator'!$B$6/2)/1000)^2)*SQRT(2*9.81*'Pump calculator'!$B$10))*1000)</f>
        <v/>
      </c>
      <c r="G125" s="38" t="str">
        <f t="shared" si="3"/>
        <v/>
      </c>
      <c r="H125" s="38" t="str">
        <f>IF(C125="","",H124+'Pump calculator'!$B$7)</f>
        <v/>
      </c>
    </row>
    <row r="126" spans="1:8" x14ac:dyDescent="0.25">
      <c r="A126" s="38">
        <v>125</v>
      </c>
      <c r="C126" s="38" t="str">
        <f>IF(A126&lt;='Pump calculator'!$B$14,LATtab!A126,"")</f>
        <v/>
      </c>
      <c r="D126" s="38" t="str">
        <f>IF(C126="","",(10.583*'Pump calculator'!$B$7*(LATtab!G125/1000)^1.85)/('Pump calculator'!$B$12^1.85*('Pump calculator'!$B$11/1000)^4.87))</f>
        <v/>
      </c>
      <c r="E126" s="115" t="str">
        <f t="shared" si="2"/>
        <v/>
      </c>
      <c r="F126" s="38" t="str">
        <f>IF(C126="","",(0.62*(PI()*(('Pump calculator'!$B$6/2)/1000)^2)*SQRT(2*9.81*'Pump calculator'!$B$10))*1000)</f>
        <v/>
      </c>
      <c r="G126" s="38" t="str">
        <f t="shared" si="3"/>
        <v/>
      </c>
      <c r="H126" s="38" t="str">
        <f>IF(C126="","",H125+'Pump calculator'!$B$7)</f>
        <v/>
      </c>
    </row>
    <row r="127" spans="1:8" x14ac:dyDescent="0.25">
      <c r="A127" s="38">
        <v>126</v>
      </c>
      <c r="C127" s="38" t="str">
        <f>IF(A127&lt;='Pump calculator'!$B$14,LATtab!A127,"")</f>
        <v/>
      </c>
      <c r="D127" s="38" t="str">
        <f>IF(C127="","",(10.583*'Pump calculator'!$B$7*(LATtab!G126/1000)^1.85)/('Pump calculator'!$B$12^1.85*('Pump calculator'!$B$11/1000)^4.87))</f>
        <v/>
      </c>
      <c r="E127" s="115" t="str">
        <f t="shared" si="2"/>
        <v/>
      </c>
      <c r="F127" s="38" t="str">
        <f>IF(C127="","",(0.62*(PI()*(('Pump calculator'!$B$6/2)/1000)^2)*SQRT(2*9.81*'Pump calculator'!$B$10))*1000)</f>
        <v/>
      </c>
      <c r="G127" s="38" t="str">
        <f t="shared" si="3"/>
        <v/>
      </c>
      <c r="H127" s="38" t="str">
        <f>IF(C127="","",H126+'Pump calculator'!$B$7)</f>
        <v/>
      </c>
    </row>
    <row r="128" spans="1:8" x14ac:dyDescent="0.25">
      <c r="A128" s="38">
        <v>127</v>
      </c>
      <c r="C128" s="38" t="str">
        <f>IF(A128&lt;='Pump calculator'!$B$14,LATtab!A128,"")</f>
        <v/>
      </c>
      <c r="D128" s="38" t="str">
        <f>IF(C128="","",(10.583*'Pump calculator'!$B$7*(LATtab!G127/1000)^1.85)/('Pump calculator'!$B$12^1.85*('Pump calculator'!$B$11/1000)^4.87))</f>
        <v/>
      </c>
      <c r="E128" s="115" t="str">
        <f t="shared" si="2"/>
        <v/>
      </c>
      <c r="F128" s="38" t="str">
        <f>IF(C128="","",(0.62*(PI()*(('Pump calculator'!$B$6/2)/1000)^2)*SQRT(2*9.81*'Pump calculator'!$B$10))*1000)</f>
        <v/>
      </c>
      <c r="G128" s="38" t="str">
        <f t="shared" si="3"/>
        <v/>
      </c>
      <c r="H128" s="38" t="str">
        <f>IF(C128="","",H127+'Pump calculator'!$B$7)</f>
        <v/>
      </c>
    </row>
    <row r="129" spans="1:8" x14ac:dyDescent="0.25">
      <c r="A129" s="38">
        <v>128</v>
      </c>
      <c r="C129" s="38" t="str">
        <f>IF(A129&lt;='Pump calculator'!$B$14,LATtab!A129,"")</f>
        <v/>
      </c>
      <c r="D129" s="38" t="str">
        <f>IF(C129="","",(10.583*'Pump calculator'!$B$7*(LATtab!G128/1000)^1.85)/('Pump calculator'!$B$12^1.85*('Pump calculator'!$B$11/1000)^4.87))</f>
        <v/>
      </c>
      <c r="E129" s="115" t="str">
        <f t="shared" si="2"/>
        <v/>
      </c>
      <c r="F129" s="38" t="str">
        <f>IF(C129="","",(0.62*(PI()*(('Pump calculator'!$B$6/2)/1000)^2)*SQRT(2*9.81*'Pump calculator'!$B$10))*1000)</f>
        <v/>
      </c>
      <c r="G129" s="38" t="str">
        <f t="shared" si="3"/>
        <v/>
      </c>
      <c r="H129" s="38" t="str">
        <f>IF(C129="","",H128+'Pump calculator'!$B$7)</f>
        <v/>
      </c>
    </row>
    <row r="130" spans="1:8" x14ac:dyDescent="0.25">
      <c r="A130" s="38">
        <v>129</v>
      </c>
      <c r="C130" s="38" t="str">
        <f>IF(A130&lt;='Pump calculator'!$B$14,LATtab!A130,"")</f>
        <v/>
      </c>
      <c r="D130" s="38" t="str">
        <f>IF(C130="","",(10.583*'Pump calculator'!$B$7*(LATtab!G129/1000)^1.85)/('Pump calculator'!$B$12^1.85*('Pump calculator'!$B$11/1000)^4.87))</f>
        <v/>
      </c>
      <c r="E130" s="115" t="str">
        <f t="shared" si="2"/>
        <v/>
      </c>
      <c r="F130" s="38" t="str">
        <f>IF(C130="","",(0.62*(PI()*(('Pump calculator'!$B$6/2)/1000)^2)*SQRT(2*9.81*'Pump calculator'!$B$10))*1000)</f>
        <v/>
      </c>
      <c r="G130" s="38" t="str">
        <f t="shared" si="3"/>
        <v/>
      </c>
      <c r="H130" s="38" t="str">
        <f>IF(C130="","",H129+'Pump calculator'!$B$7)</f>
        <v/>
      </c>
    </row>
    <row r="131" spans="1:8" x14ac:dyDescent="0.25">
      <c r="A131" s="38">
        <v>130</v>
      </c>
      <c r="C131" s="38" t="str">
        <f>IF(A131&lt;='Pump calculator'!$B$14,LATtab!A131,"")</f>
        <v/>
      </c>
      <c r="D131" s="38" t="str">
        <f>IF(C131="","",(10.583*'Pump calculator'!$B$7*(LATtab!G130/1000)^1.85)/('Pump calculator'!$B$12^1.85*('Pump calculator'!$B$11/1000)^4.87))</f>
        <v/>
      </c>
      <c r="E131" s="115" t="str">
        <f t="shared" si="2"/>
        <v/>
      </c>
      <c r="F131" s="38" t="str">
        <f>IF(C131="","",(0.62*(PI()*(('Pump calculator'!$B$6/2)/1000)^2)*SQRT(2*9.81*'Pump calculator'!$B$10))*1000)</f>
        <v/>
      </c>
      <c r="G131" s="38" t="str">
        <f t="shared" si="3"/>
        <v/>
      </c>
      <c r="H131" s="38" t="str">
        <f>IF(C131="","",H130+'Pump calculator'!$B$7)</f>
        <v/>
      </c>
    </row>
    <row r="132" spans="1:8" x14ac:dyDescent="0.25">
      <c r="A132" s="38">
        <v>131</v>
      </c>
      <c r="C132" s="38" t="str">
        <f>IF(A132&lt;='Pump calculator'!$B$14,LATtab!A132,"")</f>
        <v/>
      </c>
      <c r="D132" s="38" t="str">
        <f>IF(C132="","",(10.583*'Pump calculator'!$B$7*(LATtab!G131/1000)^1.85)/('Pump calculator'!$B$12^1.85*('Pump calculator'!$B$11/1000)^4.87))</f>
        <v/>
      </c>
      <c r="E132" s="115" t="str">
        <f t="shared" ref="E132:E195" si="4">IF(C132="","",E131+D132)</f>
        <v/>
      </c>
      <c r="F132" s="38" t="str">
        <f>IF(C132="","",(0.62*(PI()*(('Pump calculator'!$B$6/2)/1000)^2)*SQRT(2*9.81*'Pump calculator'!$B$10))*1000)</f>
        <v/>
      </c>
      <c r="G132" s="38" t="str">
        <f t="shared" ref="G132:G195" si="5">IF(C132="","",F132+G131)</f>
        <v/>
      </c>
      <c r="H132" s="38" t="str">
        <f>IF(C132="","",H131+'Pump calculator'!$B$7)</f>
        <v/>
      </c>
    </row>
    <row r="133" spans="1:8" x14ac:dyDescent="0.25">
      <c r="A133" s="38">
        <v>132</v>
      </c>
      <c r="C133" s="38" t="str">
        <f>IF(A133&lt;='Pump calculator'!$B$14,LATtab!A133,"")</f>
        <v/>
      </c>
      <c r="D133" s="38" t="str">
        <f>IF(C133="","",(10.583*'Pump calculator'!$B$7*(LATtab!G132/1000)^1.85)/('Pump calculator'!$B$12^1.85*('Pump calculator'!$B$11/1000)^4.87))</f>
        <v/>
      </c>
      <c r="E133" s="115" t="str">
        <f t="shared" si="4"/>
        <v/>
      </c>
      <c r="F133" s="38" t="str">
        <f>IF(C133="","",(0.62*(PI()*(('Pump calculator'!$B$6/2)/1000)^2)*SQRT(2*9.81*'Pump calculator'!$B$10))*1000)</f>
        <v/>
      </c>
      <c r="G133" s="38" t="str">
        <f t="shared" si="5"/>
        <v/>
      </c>
      <c r="H133" s="38" t="str">
        <f>IF(C133="","",H132+'Pump calculator'!$B$7)</f>
        <v/>
      </c>
    </row>
    <row r="134" spans="1:8" x14ac:dyDescent="0.25">
      <c r="A134" s="38">
        <v>133</v>
      </c>
      <c r="C134" s="38" t="str">
        <f>IF(A134&lt;='Pump calculator'!$B$14,LATtab!A134,"")</f>
        <v/>
      </c>
      <c r="D134" s="38" t="str">
        <f>IF(C134="","",(10.583*'Pump calculator'!$B$7*(LATtab!G133/1000)^1.85)/('Pump calculator'!$B$12^1.85*('Pump calculator'!$B$11/1000)^4.87))</f>
        <v/>
      </c>
      <c r="E134" s="115" t="str">
        <f t="shared" si="4"/>
        <v/>
      </c>
      <c r="F134" s="38" t="str">
        <f>IF(C134="","",(0.62*(PI()*(('Pump calculator'!$B$6/2)/1000)^2)*SQRT(2*9.81*'Pump calculator'!$B$10))*1000)</f>
        <v/>
      </c>
      <c r="G134" s="38" t="str">
        <f t="shared" si="5"/>
        <v/>
      </c>
      <c r="H134" s="38" t="str">
        <f>IF(C134="","",H133+'Pump calculator'!$B$7)</f>
        <v/>
      </c>
    </row>
    <row r="135" spans="1:8" x14ac:dyDescent="0.25">
      <c r="A135" s="38">
        <v>134</v>
      </c>
      <c r="C135" s="38" t="str">
        <f>IF(A135&lt;='Pump calculator'!$B$14,LATtab!A135,"")</f>
        <v/>
      </c>
      <c r="D135" s="38" t="str">
        <f>IF(C135="","",(10.583*'Pump calculator'!$B$7*(LATtab!G134/1000)^1.85)/('Pump calculator'!$B$12^1.85*('Pump calculator'!$B$11/1000)^4.87))</f>
        <v/>
      </c>
      <c r="E135" s="115" t="str">
        <f t="shared" si="4"/>
        <v/>
      </c>
      <c r="F135" s="38" t="str">
        <f>IF(C135="","",(0.62*(PI()*(('Pump calculator'!$B$6/2)/1000)^2)*SQRT(2*9.81*'Pump calculator'!$B$10))*1000)</f>
        <v/>
      </c>
      <c r="G135" s="38" t="str">
        <f t="shared" si="5"/>
        <v/>
      </c>
      <c r="H135" s="38" t="str">
        <f>IF(C135="","",H134+'Pump calculator'!$B$7)</f>
        <v/>
      </c>
    </row>
    <row r="136" spans="1:8" x14ac:dyDescent="0.25">
      <c r="A136" s="38">
        <v>135</v>
      </c>
      <c r="C136" s="38" t="str">
        <f>IF(A136&lt;='Pump calculator'!$B$14,LATtab!A136,"")</f>
        <v/>
      </c>
      <c r="D136" s="38" t="str">
        <f>IF(C136="","",(10.583*'Pump calculator'!$B$7*(LATtab!G135/1000)^1.85)/('Pump calculator'!$B$12^1.85*('Pump calculator'!$B$11/1000)^4.87))</f>
        <v/>
      </c>
      <c r="E136" s="115" t="str">
        <f t="shared" si="4"/>
        <v/>
      </c>
      <c r="F136" s="38" t="str">
        <f>IF(C136="","",(0.62*(PI()*(('Pump calculator'!$B$6/2)/1000)^2)*SQRT(2*9.81*'Pump calculator'!$B$10))*1000)</f>
        <v/>
      </c>
      <c r="G136" s="38" t="str">
        <f t="shared" si="5"/>
        <v/>
      </c>
      <c r="H136" s="38" t="str">
        <f>IF(C136="","",H135+'Pump calculator'!$B$7)</f>
        <v/>
      </c>
    </row>
    <row r="137" spans="1:8" x14ac:dyDescent="0.25">
      <c r="A137" s="38">
        <v>136</v>
      </c>
      <c r="C137" s="38" t="str">
        <f>IF(A137&lt;='Pump calculator'!$B$14,LATtab!A137,"")</f>
        <v/>
      </c>
      <c r="D137" s="38" t="str">
        <f>IF(C137="","",(10.583*'Pump calculator'!$B$7*(LATtab!G136/1000)^1.85)/('Pump calculator'!$B$12^1.85*('Pump calculator'!$B$11/1000)^4.87))</f>
        <v/>
      </c>
      <c r="E137" s="115" t="str">
        <f t="shared" si="4"/>
        <v/>
      </c>
      <c r="F137" s="38" t="str">
        <f>IF(C137="","",(0.62*(PI()*(('Pump calculator'!$B$6/2)/1000)^2)*SQRT(2*9.81*'Pump calculator'!$B$10))*1000)</f>
        <v/>
      </c>
      <c r="G137" s="38" t="str">
        <f t="shared" si="5"/>
        <v/>
      </c>
      <c r="H137" s="38" t="str">
        <f>IF(C137="","",H136+'Pump calculator'!$B$7)</f>
        <v/>
      </c>
    </row>
    <row r="138" spans="1:8" x14ac:dyDescent="0.25">
      <c r="A138" s="38">
        <v>137</v>
      </c>
      <c r="C138" s="38" t="str">
        <f>IF(A138&lt;='Pump calculator'!$B$14,LATtab!A138,"")</f>
        <v/>
      </c>
      <c r="D138" s="38" t="str">
        <f>IF(C138="","",(10.583*'Pump calculator'!$B$7*(LATtab!G137/1000)^1.85)/('Pump calculator'!$B$12^1.85*('Pump calculator'!$B$11/1000)^4.87))</f>
        <v/>
      </c>
      <c r="E138" s="115" t="str">
        <f t="shared" si="4"/>
        <v/>
      </c>
      <c r="F138" s="38" t="str">
        <f>IF(C138="","",(0.62*(PI()*(('Pump calculator'!$B$6/2)/1000)^2)*SQRT(2*9.81*'Pump calculator'!$B$10))*1000)</f>
        <v/>
      </c>
      <c r="G138" s="38" t="str">
        <f t="shared" si="5"/>
        <v/>
      </c>
      <c r="H138" s="38" t="str">
        <f>IF(C138="","",H137+'Pump calculator'!$B$7)</f>
        <v/>
      </c>
    </row>
    <row r="139" spans="1:8" x14ac:dyDescent="0.25">
      <c r="A139" s="38">
        <v>138</v>
      </c>
      <c r="C139" s="38" t="str">
        <f>IF(A139&lt;='Pump calculator'!$B$14,LATtab!A139,"")</f>
        <v/>
      </c>
      <c r="D139" s="38" t="str">
        <f>IF(C139="","",(10.583*'Pump calculator'!$B$7*(LATtab!G138/1000)^1.85)/('Pump calculator'!$B$12^1.85*('Pump calculator'!$B$11/1000)^4.87))</f>
        <v/>
      </c>
      <c r="E139" s="115" t="str">
        <f t="shared" si="4"/>
        <v/>
      </c>
      <c r="F139" s="38" t="str">
        <f>IF(C139="","",(0.62*(PI()*(('Pump calculator'!$B$6/2)/1000)^2)*SQRT(2*9.81*'Pump calculator'!$B$10))*1000)</f>
        <v/>
      </c>
      <c r="G139" s="38" t="str">
        <f t="shared" si="5"/>
        <v/>
      </c>
      <c r="H139" s="38" t="str">
        <f>IF(C139="","",H138+'Pump calculator'!$B$7)</f>
        <v/>
      </c>
    </row>
    <row r="140" spans="1:8" x14ac:dyDescent="0.25">
      <c r="A140" s="38">
        <v>139</v>
      </c>
      <c r="C140" s="38" t="str">
        <f>IF(A140&lt;='Pump calculator'!$B$14,LATtab!A140,"")</f>
        <v/>
      </c>
      <c r="D140" s="38" t="str">
        <f>IF(C140="","",(10.583*'Pump calculator'!$B$7*(LATtab!G139/1000)^1.85)/('Pump calculator'!$B$12^1.85*('Pump calculator'!$B$11/1000)^4.87))</f>
        <v/>
      </c>
      <c r="E140" s="115" t="str">
        <f t="shared" si="4"/>
        <v/>
      </c>
      <c r="F140" s="38" t="str">
        <f>IF(C140="","",(0.62*(PI()*(('Pump calculator'!$B$6/2)/1000)^2)*SQRT(2*9.81*'Pump calculator'!$B$10))*1000)</f>
        <v/>
      </c>
      <c r="G140" s="38" t="str">
        <f t="shared" si="5"/>
        <v/>
      </c>
      <c r="H140" s="38" t="str">
        <f>IF(C140="","",H139+'Pump calculator'!$B$7)</f>
        <v/>
      </c>
    </row>
    <row r="141" spans="1:8" x14ac:dyDescent="0.25">
      <c r="A141" s="38">
        <v>140</v>
      </c>
      <c r="C141" s="38" t="str">
        <f>IF(A141&lt;='Pump calculator'!$B$14,LATtab!A141,"")</f>
        <v/>
      </c>
      <c r="D141" s="38" t="str">
        <f>IF(C141="","",(10.583*'Pump calculator'!$B$7*(LATtab!G140/1000)^1.85)/('Pump calculator'!$B$12^1.85*('Pump calculator'!$B$11/1000)^4.87))</f>
        <v/>
      </c>
      <c r="E141" s="115" t="str">
        <f t="shared" si="4"/>
        <v/>
      </c>
      <c r="F141" s="38" t="str">
        <f>IF(C141="","",(0.62*(PI()*(('Pump calculator'!$B$6/2)/1000)^2)*SQRT(2*9.81*'Pump calculator'!$B$10))*1000)</f>
        <v/>
      </c>
      <c r="G141" s="38" t="str">
        <f t="shared" si="5"/>
        <v/>
      </c>
      <c r="H141" s="38" t="str">
        <f>IF(C141="","",H140+'Pump calculator'!$B$7)</f>
        <v/>
      </c>
    </row>
    <row r="142" spans="1:8" x14ac:dyDescent="0.25">
      <c r="A142" s="38">
        <v>141</v>
      </c>
      <c r="C142" s="38" t="str">
        <f>IF(A142&lt;='Pump calculator'!$B$14,LATtab!A142,"")</f>
        <v/>
      </c>
      <c r="D142" s="38" t="str">
        <f>IF(C142="","",(10.583*'Pump calculator'!$B$7*(LATtab!G141/1000)^1.85)/('Pump calculator'!$B$12^1.85*('Pump calculator'!$B$11/1000)^4.87))</f>
        <v/>
      </c>
      <c r="E142" s="115" t="str">
        <f t="shared" si="4"/>
        <v/>
      </c>
      <c r="F142" s="38" t="str">
        <f>IF(C142="","",(0.62*(PI()*(('Pump calculator'!$B$6/2)/1000)^2)*SQRT(2*9.81*'Pump calculator'!$B$10))*1000)</f>
        <v/>
      </c>
      <c r="G142" s="38" t="str">
        <f t="shared" si="5"/>
        <v/>
      </c>
      <c r="H142" s="38" t="str">
        <f>IF(C142="","",H141+'Pump calculator'!$B$7)</f>
        <v/>
      </c>
    </row>
    <row r="143" spans="1:8" x14ac:dyDescent="0.25">
      <c r="A143" s="38">
        <v>142</v>
      </c>
      <c r="C143" s="38" t="str">
        <f>IF(A143&lt;='Pump calculator'!$B$14,LATtab!A143,"")</f>
        <v/>
      </c>
      <c r="D143" s="38" t="str">
        <f>IF(C143="","",(10.583*'Pump calculator'!$B$7*(LATtab!G142/1000)^1.85)/('Pump calculator'!$B$12^1.85*('Pump calculator'!$B$11/1000)^4.87))</f>
        <v/>
      </c>
      <c r="E143" s="115" t="str">
        <f t="shared" si="4"/>
        <v/>
      </c>
      <c r="F143" s="38" t="str">
        <f>IF(C143="","",(0.62*(PI()*(('Pump calculator'!$B$6/2)/1000)^2)*SQRT(2*9.81*'Pump calculator'!$B$10))*1000)</f>
        <v/>
      </c>
      <c r="G143" s="38" t="str">
        <f t="shared" si="5"/>
        <v/>
      </c>
      <c r="H143" s="38" t="str">
        <f>IF(C143="","",H142+'Pump calculator'!$B$7)</f>
        <v/>
      </c>
    </row>
    <row r="144" spans="1:8" x14ac:dyDescent="0.25">
      <c r="A144" s="38">
        <v>143</v>
      </c>
      <c r="C144" s="38" t="str">
        <f>IF(A144&lt;='Pump calculator'!$B$14,LATtab!A144,"")</f>
        <v/>
      </c>
      <c r="D144" s="38" t="str">
        <f>IF(C144="","",(10.583*'Pump calculator'!$B$7*(LATtab!G143/1000)^1.85)/('Pump calculator'!$B$12^1.85*('Pump calculator'!$B$11/1000)^4.87))</f>
        <v/>
      </c>
      <c r="E144" s="115" t="str">
        <f t="shared" si="4"/>
        <v/>
      </c>
      <c r="F144" s="38" t="str">
        <f>IF(C144="","",(0.62*(PI()*(('Pump calculator'!$B$6/2)/1000)^2)*SQRT(2*9.81*'Pump calculator'!$B$10))*1000)</f>
        <v/>
      </c>
      <c r="G144" s="38" t="str">
        <f t="shared" si="5"/>
        <v/>
      </c>
      <c r="H144" s="38" t="str">
        <f>IF(C144="","",H143+'Pump calculator'!$B$7)</f>
        <v/>
      </c>
    </row>
    <row r="145" spans="1:8" x14ac:dyDescent="0.25">
      <c r="A145" s="38">
        <v>144</v>
      </c>
      <c r="C145" s="38" t="str">
        <f>IF(A145&lt;='Pump calculator'!$B$14,LATtab!A145,"")</f>
        <v/>
      </c>
      <c r="D145" s="38" t="str">
        <f>IF(C145="","",(10.583*'Pump calculator'!$B$7*(LATtab!G144/1000)^1.85)/('Pump calculator'!$B$12^1.85*('Pump calculator'!$B$11/1000)^4.87))</f>
        <v/>
      </c>
      <c r="E145" s="115" t="str">
        <f t="shared" si="4"/>
        <v/>
      </c>
      <c r="F145" s="38" t="str">
        <f>IF(C145="","",(0.62*(PI()*(('Pump calculator'!$B$6/2)/1000)^2)*SQRT(2*9.81*'Pump calculator'!$B$10))*1000)</f>
        <v/>
      </c>
      <c r="G145" s="38" t="str">
        <f t="shared" si="5"/>
        <v/>
      </c>
      <c r="H145" s="38" t="str">
        <f>IF(C145="","",H144+'Pump calculator'!$B$7)</f>
        <v/>
      </c>
    </row>
    <row r="146" spans="1:8" x14ac:dyDescent="0.25">
      <c r="A146" s="38">
        <v>145</v>
      </c>
      <c r="C146" s="38" t="str">
        <f>IF(A146&lt;='Pump calculator'!$B$14,LATtab!A146,"")</f>
        <v/>
      </c>
      <c r="D146" s="38" t="str">
        <f>IF(C146="","",(10.583*'Pump calculator'!$B$7*(LATtab!G145/1000)^1.85)/('Pump calculator'!$B$12^1.85*('Pump calculator'!$B$11/1000)^4.87))</f>
        <v/>
      </c>
      <c r="E146" s="115" t="str">
        <f t="shared" si="4"/>
        <v/>
      </c>
      <c r="F146" s="38" t="str">
        <f>IF(C146="","",(0.62*(PI()*(('Pump calculator'!$B$6/2)/1000)^2)*SQRT(2*9.81*'Pump calculator'!$B$10))*1000)</f>
        <v/>
      </c>
      <c r="G146" s="38" t="str">
        <f t="shared" si="5"/>
        <v/>
      </c>
      <c r="H146" s="38" t="str">
        <f>IF(C146="","",H145+'Pump calculator'!$B$7)</f>
        <v/>
      </c>
    </row>
    <row r="147" spans="1:8" x14ac:dyDescent="0.25">
      <c r="A147" s="38">
        <v>146</v>
      </c>
      <c r="C147" s="38" t="str">
        <f>IF(A147&lt;='Pump calculator'!$B$14,LATtab!A147,"")</f>
        <v/>
      </c>
      <c r="D147" s="38" t="str">
        <f>IF(C147="","",(10.583*'Pump calculator'!$B$7*(LATtab!G146/1000)^1.85)/('Pump calculator'!$B$12^1.85*('Pump calculator'!$B$11/1000)^4.87))</f>
        <v/>
      </c>
      <c r="E147" s="115" t="str">
        <f t="shared" si="4"/>
        <v/>
      </c>
      <c r="F147" s="38" t="str">
        <f>IF(C147="","",(0.62*(PI()*(('Pump calculator'!$B$6/2)/1000)^2)*SQRT(2*9.81*'Pump calculator'!$B$10))*1000)</f>
        <v/>
      </c>
      <c r="G147" s="38" t="str">
        <f t="shared" si="5"/>
        <v/>
      </c>
      <c r="H147" s="38" t="str">
        <f>IF(C147="","",H146+'Pump calculator'!$B$7)</f>
        <v/>
      </c>
    </row>
    <row r="148" spans="1:8" x14ac:dyDescent="0.25">
      <c r="A148" s="38">
        <v>147</v>
      </c>
      <c r="C148" s="38" t="str">
        <f>IF(A148&lt;='Pump calculator'!$B$14,LATtab!A148,"")</f>
        <v/>
      </c>
      <c r="D148" s="38" t="str">
        <f>IF(C148="","",(10.583*'Pump calculator'!$B$7*(LATtab!G147/1000)^1.85)/('Pump calculator'!$B$12^1.85*('Pump calculator'!$B$11/1000)^4.87))</f>
        <v/>
      </c>
      <c r="E148" s="115" t="str">
        <f t="shared" si="4"/>
        <v/>
      </c>
      <c r="F148" s="38" t="str">
        <f>IF(C148="","",(0.62*(PI()*(('Pump calculator'!$B$6/2)/1000)^2)*SQRT(2*9.81*'Pump calculator'!$B$10))*1000)</f>
        <v/>
      </c>
      <c r="G148" s="38" t="str">
        <f t="shared" si="5"/>
        <v/>
      </c>
      <c r="H148" s="38" t="str">
        <f>IF(C148="","",H147+'Pump calculator'!$B$7)</f>
        <v/>
      </c>
    </row>
    <row r="149" spans="1:8" x14ac:dyDescent="0.25">
      <c r="A149" s="38">
        <v>148</v>
      </c>
      <c r="C149" s="38" t="str">
        <f>IF(A149&lt;='Pump calculator'!$B$14,LATtab!A149,"")</f>
        <v/>
      </c>
      <c r="D149" s="38" t="str">
        <f>IF(C149="","",(10.583*'Pump calculator'!$B$7*(LATtab!G148/1000)^1.85)/('Pump calculator'!$B$12^1.85*('Pump calculator'!$B$11/1000)^4.87))</f>
        <v/>
      </c>
      <c r="E149" s="115" t="str">
        <f t="shared" si="4"/>
        <v/>
      </c>
      <c r="F149" s="38" t="str">
        <f>IF(C149="","",(0.62*(PI()*(('Pump calculator'!$B$6/2)/1000)^2)*SQRT(2*9.81*'Pump calculator'!$B$10))*1000)</f>
        <v/>
      </c>
      <c r="G149" s="38" t="str">
        <f t="shared" si="5"/>
        <v/>
      </c>
      <c r="H149" s="38" t="str">
        <f>IF(C149="","",H148+'Pump calculator'!$B$7)</f>
        <v/>
      </c>
    </row>
    <row r="150" spans="1:8" x14ac:dyDescent="0.25">
      <c r="A150" s="38">
        <v>149</v>
      </c>
      <c r="C150" s="38" t="str">
        <f>IF(A150&lt;='Pump calculator'!$B$14,LATtab!A150,"")</f>
        <v/>
      </c>
      <c r="D150" s="38" t="str">
        <f>IF(C150="","",(10.583*'Pump calculator'!$B$7*(LATtab!G149/1000)^1.85)/('Pump calculator'!$B$12^1.85*('Pump calculator'!$B$11/1000)^4.87))</f>
        <v/>
      </c>
      <c r="E150" s="115" t="str">
        <f t="shared" si="4"/>
        <v/>
      </c>
      <c r="F150" s="38" t="str">
        <f>IF(C150="","",(0.62*(PI()*(('Pump calculator'!$B$6/2)/1000)^2)*SQRT(2*9.81*'Pump calculator'!$B$10))*1000)</f>
        <v/>
      </c>
      <c r="G150" s="38" t="str">
        <f t="shared" si="5"/>
        <v/>
      </c>
      <c r="H150" s="38" t="str">
        <f>IF(C150="","",H149+'Pump calculator'!$B$7)</f>
        <v/>
      </c>
    </row>
    <row r="151" spans="1:8" x14ac:dyDescent="0.25">
      <c r="A151" s="38">
        <v>150</v>
      </c>
      <c r="C151" s="38" t="str">
        <f>IF(A151&lt;='Pump calculator'!$B$14,LATtab!A151,"")</f>
        <v/>
      </c>
      <c r="D151" s="38" t="str">
        <f>IF(C151="","",(10.583*'Pump calculator'!$B$7*(LATtab!G150/1000)^1.85)/('Pump calculator'!$B$12^1.85*('Pump calculator'!$B$11/1000)^4.87))</f>
        <v/>
      </c>
      <c r="E151" s="115" t="str">
        <f t="shared" si="4"/>
        <v/>
      </c>
      <c r="F151" s="38" t="str">
        <f>IF(C151="","",(0.62*(PI()*(('Pump calculator'!$B$6/2)/1000)^2)*SQRT(2*9.81*'Pump calculator'!$B$10))*1000)</f>
        <v/>
      </c>
      <c r="G151" s="38" t="str">
        <f t="shared" si="5"/>
        <v/>
      </c>
      <c r="H151" s="38" t="str">
        <f>IF(C151="","",H150+'Pump calculator'!$B$7)</f>
        <v/>
      </c>
    </row>
    <row r="152" spans="1:8" x14ac:dyDescent="0.25">
      <c r="A152" s="38">
        <v>151</v>
      </c>
      <c r="C152" s="38" t="str">
        <f>IF(A152&lt;='Pump calculator'!$B$14,LATtab!A152,"")</f>
        <v/>
      </c>
      <c r="D152" s="38" t="str">
        <f>IF(C152="","",(10.583*'Pump calculator'!$B$7*(LATtab!G151/1000)^1.85)/('Pump calculator'!$B$12^1.85*('Pump calculator'!$B$11/1000)^4.87))</f>
        <v/>
      </c>
      <c r="E152" s="115" t="str">
        <f t="shared" si="4"/>
        <v/>
      </c>
      <c r="F152" s="38" t="str">
        <f>IF(C152="","",(0.62*(PI()*(('Pump calculator'!$B$6/2)/1000)^2)*SQRT(2*9.81*'Pump calculator'!$B$10))*1000)</f>
        <v/>
      </c>
      <c r="G152" s="38" t="str">
        <f t="shared" si="5"/>
        <v/>
      </c>
      <c r="H152" s="38" t="str">
        <f>IF(C152="","",H151+'Pump calculator'!$B$7)</f>
        <v/>
      </c>
    </row>
    <row r="153" spans="1:8" x14ac:dyDescent="0.25">
      <c r="A153" s="38">
        <v>152</v>
      </c>
      <c r="C153" s="38" t="str">
        <f>IF(A153&lt;='Pump calculator'!$B$14,LATtab!A153,"")</f>
        <v/>
      </c>
      <c r="D153" s="38" t="str">
        <f>IF(C153="","",(10.583*'Pump calculator'!$B$7*(LATtab!G152/1000)^1.85)/('Pump calculator'!$B$12^1.85*('Pump calculator'!$B$11/1000)^4.87))</f>
        <v/>
      </c>
      <c r="E153" s="115" t="str">
        <f t="shared" si="4"/>
        <v/>
      </c>
      <c r="F153" s="38" t="str">
        <f>IF(C153="","",(0.62*(PI()*(('Pump calculator'!$B$6/2)/1000)^2)*SQRT(2*9.81*'Pump calculator'!$B$10))*1000)</f>
        <v/>
      </c>
      <c r="G153" s="38" t="str">
        <f t="shared" si="5"/>
        <v/>
      </c>
      <c r="H153" s="38" t="str">
        <f>IF(C153="","",H152+'Pump calculator'!$B$7)</f>
        <v/>
      </c>
    </row>
    <row r="154" spans="1:8" x14ac:dyDescent="0.25">
      <c r="A154" s="38">
        <v>153</v>
      </c>
      <c r="C154" s="38" t="str">
        <f>IF(A154&lt;='Pump calculator'!$B$14,LATtab!A154,"")</f>
        <v/>
      </c>
      <c r="D154" s="38" t="str">
        <f>IF(C154="","",(10.583*'Pump calculator'!$B$7*(LATtab!G153/1000)^1.85)/('Pump calculator'!$B$12^1.85*('Pump calculator'!$B$11/1000)^4.87))</f>
        <v/>
      </c>
      <c r="E154" s="115" t="str">
        <f t="shared" si="4"/>
        <v/>
      </c>
      <c r="F154" s="38" t="str">
        <f>IF(C154="","",(0.62*(PI()*(('Pump calculator'!$B$6/2)/1000)^2)*SQRT(2*9.81*'Pump calculator'!$B$10))*1000)</f>
        <v/>
      </c>
      <c r="G154" s="38" t="str">
        <f t="shared" si="5"/>
        <v/>
      </c>
      <c r="H154" s="38" t="str">
        <f>IF(C154="","",H153+'Pump calculator'!$B$7)</f>
        <v/>
      </c>
    </row>
    <row r="155" spans="1:8" x14ac:dyDescent="0.25">
      <c r="A155" s="38">
        <v>154</v>
      </c>
      <c r="C155" s="38" t="str">
        <f>IF(A155&lt;='Pump calculator'!$B$14,LATtab!A155,"")</f>
        <v/>
      </c>
      <c r="D155" s="38" t="str">
        <f>IF(C155="","",(10.583*'Pump calculator'!$B$7*(LATtab!G154/1000)^1.85)/('Pump calculator'!$B$12^1.85*('Pump calculator'!$B$11/1000)^4.87))</f>
        <v/>
      </c>
      <c r="E155" s="115" t="str">
        <f t="shared" si="4"/>
        <v/>
      </c>
      <c r="F155" s="38" t="str">
        <f>IF(C155="","",(0.62*(PI()*(('Pump calculator'!$B$6/2)/1000)^2)*SQRT(2*9.81*'Pump calculator'!$B$10))*1000)</f>
        <v/>
      </c>
      <c r="G155" s="38" t="str">
        <f t="shared" si="5"/>
        <v/>
      </c>
      <c r="H155" s="38" t="str">
        <f>IF(C155="","",H154+'Pump calculator'!$B$7)</f>
        <v/>
      </c>
    </row>
    <row r="156" spans="1:8" x14ac:dyDescent="0.25">
      <c r="A156" s="38">
        <v>155</v>
      </c>
      <c r="C156" s="38" t="str">
        <f>IF(A156&lt;='Pump calculator'!$B$14,LATtab!A156,"")</f>
        <v/>
      </c>
      <c r="D156" s="38" t="str">
        <f>IF(C156="","",(10.583*'Pump calculator'!$B$7*(LATtab!G155/1000)^1.85)/('Pump calculator'!$B$12^1.85*('Pump calculator'!$B$11/1000)^4.87))</f>
        <v/>
      </c>
      <c r="E156" s="115" t="str">
        <f t="shared" si="4"/>
        <v/>
      </c>
      <c r="F156" s="38" t="str">
        <f>IF(C156="","",(0.62*(PI()*(('Pump calculator'!$B$6/2)/1000)^2)*SQRT(2*9.81*'Pump calculator'!$B$10))*1000)</f>
        <v/>
      </c>
      <c r="G156" s="38" t="str">
        <f t="shared" si="5"/>
        <v/>
      </c>
      <c r="H156" s="38" t="str">
        <f>IF(C156="","",H155+'Pump calculator'!$B$7)</f>
        <v/>
      </c>
    </row>
    <row r="157" spans="1:8" x14ac:dyDescent="0.25">
      <c r="A157" s="38">
        <v>156</v>
      </c>
      <c r="C157" s="38" t="str">
        <f>IF(A157&lt;='Pump calculator'!$B$14,LATtab!A157,"")</f>
        <v/>
      </c>
      <c r="D157" s="38" t="str">
        <f>IF(C157="","",(10.583*'Pump calculator'!$B$7*(LATtab!G156/1000)^1.85)/('Pump calculator'!$B$12^1.85*('Pump calculator'!$B$11/1000)^4.87))</f>
        <v/>
      </c>
      <c r="E157" s="115" t="str">
        <f t="shared" si="4"/>
        <v/>
      </c>
      <c r="F157" s="38" t="str">
        <f>IF(C157="","",(0.62*(PI()*(('Pump calculator'!$B$6/2)/1000)^2)*SQRT(2*9.81*'Pump calculator'!$B$10))*1000)</f>
        <v/>
      </c>
      <c r="G157" s="38" t="str">
        <f t="shared" si="5"/>
        <v/>
      </c>
      <c r="H157" s="38" t="str">
        <f>IF(C157="","",H156+'Pump calculator'!$B$7)</f>
        <v/>
      </c>
    </row>
    <row r="158" spans="1:8" x14ac:dyDescent="0.25">
      <c r="A158" s="38">
        <v>157</v>
      </c>
      <c r="C158" s="38" t="str">
        <f>IF(A158&lt;='Pump calculator'!$B$14,LATtab!A158,"")</f>
        <v/>
      </c>
      <c r="D158" s="38" t="str">
        <f>IF(C158="","",(10.583*'Pump calculator'!$B$7*(LATtab!G157/1000)^1.85)/('Pump calculator'!$B$12^1.85*('Pump calculator'!$B$11/1000)^4.87))</f>
        <v/>
      </c>
      <c r="E158" s="115" t="str">
        <f t="shared" si="4"/>
        <v/>
      </c>
      <c r="F158" s="38" t="str">
        <f>IF(C158="","",(0.62*(PI()*(('Pump calculator'!$B$6/2)/1000)^2)*SQRT(2*9.81*'Pump calculator'!$B$10))*1000)</f>
        <v/>
      </c>
      <c r="G158" s="38" t="str">
        <f t="shared" si="5"/>
        <v/>
      </c>
      <c r="H158" s="38" t="str">
        <f>IF(C158="","",H157+'Pump calculator'!$B$7)</f>
        <v/>
      </c>
    </row>
    <row r="159" spans="1:8" x14ac:dyDescent="0.25">
      <c r="A159" s="38">
        <v>158</v>
      </c>
      <c r="C159" s="38" t="str">
        <f>IF(A159&lt;='Pump calculator'!$B$14,LATtab!A159,"")</f>
        <v/>
      </c>
      <c r="D159" s="38" t="str">
        <f>IF(C159="","",(10.583*'Pump calculator'!$B$7*(LATtab!G158/1000)^1.85)/('Pump calculator'!$B$12^1.85*('Pump calculator'!$B$11/1000)^4.87))</f>
        <v/>
      </c>
      <c r="E159" s="115" t="str">
        <f t="shared" si="4"/>
        <v/>
      </c>
      <c r="F159" s="38" t="str">
        <f>IF(C159="","",(0.62*(PI()*(('Pump calculator'!$B$6/2)/1000)^2)*SQRT(2*9.81*'Pump calculator'!$B$10))*1000)</f>
        <v/>
      </c>
      <c r="G159" s="38" t="str">
        <f t="shared" si="5"/>
        <v/>
      </c>
      <c r="H159" s="38" t="str">
        <f>IF(C159="","",H158+'Pump calculator'!$B$7)</f>
        <v/>
      </c>
    </row>
    <row r="160" spans="1:8" x14ac:dyDescent="0.25">
      <c r="A160" s="38">
        <v>159</v>
      </c>
      <c r="C160" s="38" t="str">
        <f>IF(A160&lt;='Pump calculator'!$B$14,LATtab!A160,"")</f>
        <v/>
      </c>
      <c r="D160" s="38" t="str">
        <f>IF(C160="","",(10.583*'Pump calculator'!$B$7*(LATtab!G159/1000)^1.85)/('Pump calculator'!$B$12^1.85*('Pump calculator'!$B$11/1000)^4.87))</f>
        <v/>
      </c>
      <c r="E160" s="115" t="str">
        <f t="shared" si="4"/>
        <v/>
      </c>
      <c r="F160" s="38" t="str">
        <f>IF(C160="","",(0.62*(PI()*(('Pump calculator'!$B$6/2)/1000)^2)*SQRT(2*9.81*'Pump calculator'!$B$10))*1000)</f>
        <v/>
      </c>
      <c r="G160" s="38" t="str">
        <f t="shared" si="5"/>
        <v/>
      </c>
      <c r="H160" s="38" t="str">
        <f>IF(C160="","",H159+'Pump calculator'!$B$7)</f>
        <v/>
      </c>
    </row>
    <row r="161" spans="1:8" x14ac:dyDescent="0.25">
      <c r="A161" s="38">
        <v>160</v>
      </c>
      <c r="C161" s="38" t="str">
        <f>IF(A161&lt;='Pump calculator'!$B$14,LATtab!A161,"")</f>
        <v/>
      </c>
      <c r="D161" s="38" t="str">
        <f>IF(C161="","",(10.583*'Pump calculator'!$B$7*(LATtab!G160/1000)^1.85)/('Pump calculator'!$B$12^1.85*('Pump calculator'!$B$11/1000)^4.87))</f>
        <v/>
      </c>
      <c r="E161" s="115" t="str">
        <f t="shared" si="4"/>
        <v/>
      </c>
      <c r="F161" s="38" t="str">
        <f>IF(C161="","",(0.62*(PI()*(('Pump calculator'!$B$6/2)/1000)^2)*SQRT(2*9.81*'Pump calculator'!$B$10))*1000)</f>
        <v/>
      </c>
      <c r="G161" s="38" t="str">
        <f t="shared" si="5"/>
        <v/>
      </c>
      <c r="H161" s="38" t="str">
        <f>IF(C161="","",H160+'Pump calculator'!$B$7)</f>
        <v/>
      </c>
    </row>
    <row r="162" spans="1:8" x14ac:dyDescent="0.25">
      <c r="A162" s="38">
        <v>161</v>
      </c>
      <c r="C162" s="38" t="str">
        <f>IF(A162&lt;='Pump calculator'!$B$14,LATtab!A162,"")</f>
        <v/>
      </c>
      <c r="D162" s="38" t="str">
        <f>IF(C162="","",(10.583*'Pump calculator'!$B$7*(LATtab!G161/1000)^1.85)/('Pump calculator'!$B$12^1.85*('Pump calculator'!$B$11/1000)^4.87))</f>
        <v/>
      </c>
      <c r="E162" s="115" t="str">
        <f t="shared" si="4"/>
        <v/>
      </c>
      <c r="F162" s="38" t="str">
        <f>IF(C162="","",(0.62*(PI()*(('Pump calculator'!$B$6/2)/1000)^2)*SQRT(2*9.81*'Pump calculator'!$B$10))*1000)</f>
        <v/>
      </c>
      <c r="G162" s="38" t="str">
        <f t="shared" si="5"/>
        <v/>
      </c>
      <c r="H162" s="38" t="str">
        <f>IF(C162="","",H161+'Pump calculator'!$B$7)</f>
        <v/>
      </c>
    </row>
    <row r="163" spans="1:8" x14ac:dyDescent="0.25">
      <c r="A163" s="38">
        <v>162</v>
      </c>
      <c r="C163" s="38" t="str">
        <f>IF(A163&lt;='Pump calculator'!$B$14,LATtab!A163,"")</f>
        <v/>
      </c>
      <c r="D163" s="38" t="str">
        <f>IF(C163="","",(10.583*'Pump calculator'!$B$7*(LATtab!G162/1000)^1.85)/('Pump calculator'!$B$12^1.85*('Pump calculator'!$B$11/1000)^4.87))</f>
        <v/>
      </c>
      <c r="E163" s="115" t="str">
        <f t="shared" si="4"/>
        <v/>
      </c>
      <c r="F163" s="38" t="str">
        <f>IF(C163="","",(0.62*(PI()*(('Pump calculator'!$B$6/2)/1000)^2)*SQRT(2*9.81*'Pump calculator'!$B$10))*1000)</f>
        <v/>
      </c>
      <c r="G163" s="38" t="str">
        <f t="shared" si="5"/>
        <v/>
      </c>
      <c r="H163" s="38" t="str">
        <f>IF(C163="","",H162+'Pump calculator'!$B$7)</f>
        <v/>
      </c>
    </row>
    <row r="164" spans="1:8" x14ac:dyDescent="0.25">
      <c r="A164" s="38">
        <v>163</v>
      </c>
      <c r="C164" s="38" t="str">
        <f>IF(A164&lt;='Pump calculator'!$B$14,LATtab!A164,"")</f>
        <v/>
      </c>
      <c r="D164" s="38" t="str">
        <f>IF(C164="","",(10.583*'Pump calculator'!$B$7*(LATtab!G163/1000)^1.85)/('Pump calculator'!$B$12^1.85*('Pump calculator'!$B$11/1000)^4.87))</f>
        <v/>
      </c>
      <c r="E164" s="115" t="str">
        <f t="shared" si="4"/>
        <v/>
      </c>
      <c r="F164" s="38" t="str">
        <f>IF(C164="","",(0.62*(PI()*(('Pump calculator'!$B$6/2)/1000)^2)*SQRT(2*9.81*'Pump calculator'!$B$10))*1000)</f>
        <v/>
      </c>
      <c r="G164" s="38" t="str">
        <f t="shared" si="5"/>
        <v/>
      </c>
      <c r="H164" s="38" t="str">
        <f>IF(C164="","",H163+'Pump calculator'!$B$7)</f>
        <v/>
      </c>
    </row>
    <row r="165" spans="1:8" x14ac:dyDescent="0.25">
      <c r="A165" s="38">
        <v>164</v>
      </c>
      <c r="C165" s="38" t="str">
        <f>IF(A165&lt;='Pump calculator'!$B$14,LATtab!A165,"")</f>
        <v/>
      </c>
      <c r="D165" s="38" t="str">
        <f>IF(C165="","",(10.583*'Pump calculator'!$B$7*(LATtab!G164/1000)^1.85)/('Pump calculator'!$B$12^1.85*('Pump calculator'!$B$11/1000)^4.87))</f>
        <v/>
      </c>
      <c r="E165" s="115" t="str">
        <f t="shared" si="4"/>
        <v/>
      </c>
      <c r="F165" s="38" t="str">
        <f>IF(C165="","",(0.62*(PI()*(('Pump calculator'!$B$6/2)/1000)^2)*SQRT(2*9.81*'Pump calculator'!$B$10))*1000)</f>
        <v/>
      </c>
      <c r="G165" s="38" t="str">
        <f t="shared" si="5"/>
        <v/>
      </c>
      <c r="H165" s="38" t="str">
        <f>IF(C165="","",H164+'Pump calculator'!$B$7)</f>
        <v/>
      </c>
    </row>
    <row r="166" spans="1:8" x14ac:dyDescent="0.25">
      <c r="A166" s="38">
        <v>165</v>
      </c>
      <c r="C166" s="38" t="str">
        <f>IF(A166&lt;='Pump calculator'!$B$14,LATtab!A166,"")</f>
        <v/>
      </c>
      <c r="D166" s="38" t="str">
        <f>IF(C166="","",(10.583*'Pump calculator'!$B$7*(LATtab!G165/1000)^1.85)/('Pump calculator'!$B$12^1.85*('Pump calculator'!$B$11/1000)^4.87))</f>
        <v/>
      </c>
      <c r="E166" s="115" t="str">
        <f t="shared" si="4"/>
        <v/>
      </c>
      <c r="F166" s="38" t="str">
        <f>IF(C166="","",(0.62*(PI()*(('Pump calculator'!$B$6/2)/1000)^2)*SQRT(2*9.81*'Pump calculator'!$B$10))*1000)</f>
        <v/>
      </c>
      <c r="G166" s="38" t="str">
        <f t="shared" si="5"/>
        <v/>
      </c>
      <c r="H166" s="38" t="str">
        <f>IF(C166="","",H165+'Pump calculator'!$B$7)</f>
        <v/>
      </c>
    </row>
    <row r="167" spans="1:8" x14ac:dyDescent="0.25">
      <c r="A167" s="38">
        <v>166</v>
      </c>
      <c r="C167" s="38" t="str">
        <f>IF(A167&lt;='Pump calculator'!$B$14,LATtab!A167,"")</f>
        <v/>
      </c>
      <c r="D167" s="38" t="str">
        <f>IF(C167="","",(10.583*'Pump calculator'!$B$7*(LATtab!G166/1000)^1.85)/('Pump calculator'!$B$12^1.85*('Pump calculator'!$B$11/1000)^4.87))</f>
        <v/>
      </c>
      <c r="E167" s="115" t="str">
        <f t="shared" si="4"/>
        <v/>
      </c>
      <c r="F167" s="38" t="str">
        <f>IF(C167="","",(0.62*(PI()*(('Pump calculator'!$B$6/2)/1000)^2)*SQRT(2*9.81*'Pump calculator'!$B$10))*1000)</f>
        <v/>
      </c>
      <c r="G167" s="38" t="str">
        <f t="shared" si="5"/>
        <v/>
      </c>
      <c r="H167" s="38" t="str">
        <f>IF(C167="","",H166+'Pump calculator'!$B$7)</f>
        <v/>
      </c>
    </row>
    <row r="168" spans="1:8" x14ac:dyDescent="0.25">
      <c r="A168" s="38">
        <v>167</v>
      </c>
      <c r="C168" s="38" t="str">
        <f>IF(A168&lt;='Pump calculator'!$B$14,LATtab!A168,"")</f>
        <v/>
      </c>
      <c r="D168" s="38" t="str">
        <f>IF(C168="","",(10.583*'Pump calculator'!$B$7*(LATtab!G167/1000)^1.85)/('Pump calculator'!$B$12^1.85*('Pump calculator'!$B$11/1000)^4.87))</f>
        <v/>
      </c>
      <c r="E168" s="115" t="str">
        <f t="shared" si="4"/>
        <v/>
      </c>
      <c r="F168" s="38" t="str">
        <f>IF(C168="","",(0.62*(PI()*(('Pump calculator'!$B$6/2)/1000)^2)*SQRT(2*9.81*'Pump calculator'!$B$10))*1000)</f>
        <v/>
      </c>
      <c r="G168" s="38" t="str">
        <f t="shared" si="5"/>
        <v/>
      </c>
      <c r="H168" s="38" t="str">
        <f>IF(C168="","",H167+'Pump calculator'!$B$7)</f>
        <v/>
      </c>
    </row>
    <row r="169" spans="1:8" x14ac:dyDescent="0.25">
      <c r="A169" s="38">
        <v>168</v>
      </c>
      <c r="C169" s="38" t="str">
        <f>IF(A169&lt;='Pump calculator'!$B$14,LATtab!A169,"")</f>
        <v/>
      </c>
      <c r="D169" s="38" t="str">
        <f>IF(C169="","",(10.583*'Pump calculator'!$B$7*(LATtab!G168/1000)^1.85)/('Pump calculator'!$B$12^1.85*('Pump calculator'!$B$11/1000)^4.87))</f>
        <v/>
      </c>
      <c r="E169" s="115" t="str">
        <f t="shared" si="4"/>
        <v/>
      </c>
      <c r="F169" s="38" t="str">
        <f>IF(C169="","",(0.62*(PI()*(('Pump calculator'!$B$6/2)/1000)^2)*SQRT(2*9.81*'Pump calculator'!$B$10))*1000)</f>
        <v/>
      </c>
      <c r="G169" s="38" t="str">
        <f t="shared" si="5"/>
        <v/>
      </c>
      <c r="H169" s="38" t="str">
        <f>IF(C169="","",H168+'Pump calculator'!$B$7)</f>
        <v/>
      </c>
    </row>
    <row r="170" spans="1:8" x14ac:dyDescent="0.25">
      <c r="A170" s="38">
        <v>169</v>
      </c>
      <c r="C170" s="38" t="str">
        <f>IF(A170&lt;='Pump calculator'!$B$14,LATtab!A170,"")</f>
        <v/>
      </c>
      <c r="D170" s="38" t="str">
        <f>IF(C170="","",(10.583*'Pump calculator'!$B$7*(LATtab!G169/1000)^1.85)/('Pump calculator'!$B$12^1.85*('Pump calculator'!$B$11/1000)^4.87))</f>
        <v/>
      </c>
      <c r="E170" s="115" t="str">
        <f t="shared" si="4"/>
        <v/>
      </c>
      <c r="F170" s="38" t="str">
        <f>IF(C170="","",(0.62*(PI()*(('Pump calculator'!$B$6/2)/1000)^2)*SQRT(2*9.81*'Pump calculator'!$B$10))*1000)</f>
        <v/>
      </c>
      <c r="G170" s="38" t="str">
        <f t="shared" si="5"/>
        <v/>
      </c>
      <c r="H170" s="38" t="str">
        <f>IF(C170="","",H169+'Pump calculator'!$B$7)</f>
        <v/>
      </c>
    </row>
    <row r="171" spans="1:8" x14ac:dyDescent="0.25">
      <c r="A171" s="38">
        <v>170</v>
      </c>
      <c r="C171" s="38" t="str">
        <f>IF(A171&lt;='Pump calculator'!$B$14,LATtab!A171,"")</f>
        <v/>
      </c>
      <c r="D171" s="38" t="str">
        <f>IF(C171="","",(10.583*'Pump calculator'!$B$7*(LATtab!G170/1000)^1.85)/('Pump calculator'!$B$12^1.85*('Pump calculator'!$B$11/1000)^4.87))</f>
        <v/>
      </c>
      <c r="E171" s="115" t="str">
        <f t="shared" si="4"/>
        <v/>
      </c>
      <c r="F171" s="38" t="str">
        <f>IF(C171="","",(0.62*(PI()*(('Pump calculator'!$B$6/2)/1000)^2)*SQRT(2*9.81*'Pump calculator'!$B$10))*1000)</f>
        <v/>
      </c>
      <c r="G171" s="38" t="str">
        <f t="shared" si="5"/>
        <v/>
      </c>
      <c r="H171" s="38" t="str">
        <f>IF(C171="","",H170+'Pump calculator'!$B$7)</f>
        <v/>
      </c>
    </row>
    <row r="172" spans="1:8" x14ac:dyDescent="0.25">
      <c r="A172" s="38">
        <v>171</v>
      </c>
      <c r="C172" s="38" t="str">
        <f>IF(A172&lt;='Pump calculator'!$B$14,LATtab!A172,"")</f>
        <v/>
      </c>
      <c r="D172" s="38" t="str">
        <f>IF(C172="","",(10.583*'Pump calculator'!$B$7*(LATtab!G171/1000)^1.85)/('Pump calculator'!$B$12^1.85*('Pump calculator'!$B$11/1000)^4.87))</f>
        <v/>
      </c>
      <c r="E172" s="115" t="str">
        <f t="shared" si="4"/>
        <v/>
      </c>
      <c r="F172" s="38" t="str">
        <f>IF(C172="","",(0.62*(PI()*(('Pump calculator'!$B$6/2)/1000)^2)*SQRT(2*9.81*'Pump calculator'!$B$10))*1000)</f>
        <v/>
      </c>
      <c r="G172" s="38" t="str">
        <f t="shared" si="5"/>
        <v/>
      </c>
      <c r="H172" s="38" t="str">
        <f>IF(C172="","",H171+'Pump calculator'!$B$7)</f>
        <v/>
      </c>
    </row>
    <row r="173" spans="1:8" x14ac:dyDescent="0.25">
      <c r="A173" s="38">
        <v>172</v>
      </c>
      <c r="C173" s="38" t="str">
        <f>IF(A173&lt;='Pump calculator'!$B$14,LATtab!A173,"")</f>
        <v/>
      </c>
      <c r="D173" s="38" t="str">
        <f>IF(C173="","",(10.583*'Pump calculator'!$B$7*(LATtab!G172/1000)^1.85)/('Pump calculator'!$B$12^1.85*('Pump calculator'!$B$11/1000)^4.87))</f>
        <v/>
      </c>
      <c r="E173" s="115" t="str">
        <f t="shared" si="4"/>
        <v/>
      </c>
      <c r="F173" s="38" t="str">
        <f>IF(C173="","",(0.62*(PI()*(('Pump calculator'!$B$6/2)/1000)^2)*SQRT(2*9.81*'Pump calculator'!$B$10))*1000)</f>
        <v/>
      </c>
      <c r="G173" s="38" t="str">
        <f t="shared" si="5"/>
        <v/>
      </c>
      <c r="H173" s="38" t="str">
        <f>IF(C173="","",H172+'Pump calculator'!$B$7)</f>
        <v/>
      </c>
    </row>
    <row r="174" spans="1:8" x14ac:dyDescent="0.25">
      <c r="A174" s="38">
        <v>173</v>
      </c>
      <c r="C174" s="38" t="str">
        <f>IF(A174&lt;='Pump calculator'!$B$14,LATtab!A174,"")</f>
        <v/>
      </c>
      <c r="D174" s="38" t="str">
        <f>IF(C174="","",(10.583*'Pump calculator'!$B$7*(LATtab!G173/1000)^1.85)/('Pump calculator'!$B$12^1.85*('Pump calculator'!$B$11/1000)^4.87))</f>
        <v/>
      </c>
      <c r="E174" s="115" t="str">
        <f t="shared" si="4"/>
        <v/>
      </c>
      <c r="F174" s="38" t="str">
        <f>IF(C174="","",(0.62*(PI()*(('Pump calculator'!$B$6/2)/1000)^2)*SQRT(2*9.81*'Pump calculator'!$B$10))*1000)</f>
        <v/>
      </c>
      <c r="G174" s="38" t="str">
        <f t="shared" si="5"/>
        <v/>
      </c>
      <c r="H174" s="38" t="str">
        <f>IF(C174="","",H173+'Pump calculator'!$B$7)</f>
        <v/>
      </c>
    </row>
    <row r="175" spans="1:8" x14ac:dyDescent="0.25">
      <c r="A175" s="38">
        <v>174</v>
      </c>
      <c r="C175" s="38" t="str">
        <f>IF(A175&lt;='Pump calculator'!$B$14,LATtab!A175,"")</f>
        <v/>
      </c>
      <c r="D175" s="38" t="str">
        <f>IF(C175="","",(10.583*'Pump calculator'!$B$7*(LATtab!G174/1000)^1.85)/('Pump calculator'!$B$12^1.85*('Pump calculator'!$B$11/1000)^4.87))</f>
        <v/>
      </c>
      <c r="E175" s="115" t="str">
        <f t="shared" si="4"/>
        <v/>
      </c>
      <c r="F175" s="38" t="str">
        <f>IF(C175="","",(0.62*(PI()*(('Pump calculator'!$B$6/2)/1000)^2)*SQRT(2*9.81*'Pump calculator'!$B$10))*1000)</f>
        <v/>
      </c>
      <c r="G175" s="38" t="str">
        <f t="shared" si="5"/>
        <v/>
      </c>
      <c r="H175" s="38" t="str">
        <f>IF(C175="","",H174+'Pump calculator'!$B$7)</f>
        <v/>
      </c>
    </row>
    <row r="176" spans="1:8" x14ac:dyDescent="0.25">
      <c r="A176" s="38">
        <v>175</v>
      </c>
      <c r="C176" s="38" t="str">
        <f>IF(A176&lt;='Pump calculator'!$B$14,LATtab!A176,"")</f>
        <v/>
      </c>
      <c r="D176" s="38" t="str">
        <f>IF(C176="","",(10.583*'Pump calculator'!$B$7*(LATtab!G175/1000)^1.85)/('Pump calculator'!$B$12^1.85*('Pump calculator'!$B$11/1000)^4.87))</f>
        <v/>
      </c>
      <c r="E176" s="115" t="str">
        <f t="shared" si="4"/>
        <v/>
      </c>
      <c r="F176" s="38" t="str">
        <f>IF(C176="","",(0.62*(PI()*(('Pump calculator'!$B$6/2)/1000)^2)*SQRT(2*9.81*'Pump calculator'!$B$10))*1000)</f>
        <v/>
      </c>
      <c r="G176" s="38" t="str">
        <f t="shared" si="5"/>
        <v/>
      </c>
      <c r="H176" s="38" t="str">
        <f>IF(C176="","",H175+'Pump calculator'!$B$7)</f>
        <v/>
      </c>
    </row>
    <row r="177" spans="1:8" x14ac:dyDescent="0.25">
      <c r="A177" s="38">
        <v>176</v>
      </c>
      <c r="C177" s="38" t="str">
        <f>IF(A177&lt;='Pump calculator'!$B$14,LATtab!A177,"")</f>
        <v/>
      </c>
      <c r="D177" s="38" t="str">
        <f>IF(C177="","",(10.583*'Pump calculator'!$B$7*(LATtab!G176/1000)^1.85)/('Pump calculator'!$B$12^1.85*('Pump calculator'!$B$11/1000)^4.87))</f>
        <v/>
      </c>
      <c r="E177" s="115" t="str">
        <f t="shared" si="4"/>
        <v/>
      </c>
      <c r="F177" s="38" t="str">
        <f>IF(C177="","",(0.62*(PI()*(('Pump calculator'!$B$6/2)/1000)^2)*SQRT(2*9.81*'Pump calculator'!$B$10))*1000)</f>
        <v/>
      </c>
      <c r="G177" s="38" t="str">
        <f t="shared" si="5"/>
        <v/>
      </c>
      <c r="H177" s="38" t="str">
        <f>IF(C177="","",H176+'Pump calculator'!$B$7)</f>
        <v/>
      </c>
    </row>
    <row r="178" spans="1:8" x14ac:dyDescent="0.25">
      <c r="A178" s="38">
        <v>177</v>
      </c>
      <c r="C178" s="38" t="str">
        <f>IF(A178&lt;='Pump calculator'!$B$14,LATtab!A178,"")</f>
        <v/>
      </c>
      <c r="D178" s="38" t="str">
        <f>IF(C178="","",(10.583*'Pump calculator'!$B$7*(LATtab!G177/1000)^1.85)/('Pump calculator'!$B$12^1.85*('Pump calculator'!$B$11/1000)^4.87))</f>
        <v/>
      </c>
      <c r="E178" s="115" t="str">
        <f t="shared" si="4"/>
        <v/>
      </c>
      <c r="F178" s="38" t="str">
        <f>IF(C178="","",(0.62*(PI()*(('Pump calculator'!$B$6/2)/1000)^2)*SQRT(2*9.81*'Pump calculator'!$B$10))*1000)</f>
        <v/>
      </c>
      <c r="G178" s="38" t="str">
        <f t="shared" si="5"/>
        <v/>
      </c>
      <c r="H178" s="38" t="str">
        <f>IF(C178="","",H177+'Pump calculator'!$B$7)</f>
        <v/>
      </c>
    </row>
    <row r="179" spans="1:8" x14ac:dyDescent="0.25">
      <c r="A179" s="38">
        <v>178</v>
      </c>
      <c r="C179" s="38" t="str">
        <f>IF(A179&lt;='Pump calculator'!$B$14,LATtab!A179,"")</f>
        <v/>
      </c>
      <c r="D179" s="38" t="str">
        <f>IF(C179="","",(10.583*'Pump calculator'!$B$7*(LATtab!G178/1000)^1.85)/('Pump calculator'!$B$12^1.85*('Pump calculator'!$B$11/1000)^4.87))</f>
        <v/>
      </c>
      <c r="E179" s="115" t="str">
        <f t="shared" si="4"/>
        <v/>
      </c>
      <c r="F179" s="38" t="str">
        <f>IF(C179="","",(0.62*(PI()*(('Pump calculator'!$B$6/2)/1000)^2)*SQRT(2*9.81*'Pump calculator'!$B$10))*1000)</f>
        <v/>
      </c>
      <c r="G179" s="38" t="str">
        <f t="shared" si="5"/>
        <v/>
      </c>
      <c r="H179" s="38" t="str">
        <f>IF(C179="","",H178+'Pump calculator'!$B$7)</f>
        <v/>
      </c>
    </row>
    <row r="180" spans="1:8" x14ac:dyDescent="0.25">
      <c r="A180" s="38">
        <v>179</v>
      </c>
      <c r="C180" s="38" t="str">
        <f>IF(A180&lt;='Pump calculator'!$B$14,LATtab!A180,"")</f>
        <v/>
      </c>
      <c r="D180" s="38" t="str">
        <f>IF(C180="","",(10.583*'Pump calculator'!$B$7*(LATtab!G179/1000)^1.85)/('Pump calculator'!$B$12^1.85*('Pump calculator'!$B$11/1000)^4.87))</f>
        <v/>
      </c>
      <c r="E180" s="115" t="str">
        <f t="shared" si="4"/>
        <v/>
      </c>
      <c r="F180" s="38" t="str">
        <f>IF(C180="","",(0.62*(PI()*(('Pump calculator'!$B$6/2)/1000)^2)*SQRT(2*9.81*'Pump calculator'!$B$10))*1000)</f>
        <v/>
      </c>
      <c r="G180" s="38" t="str">
        <f t="shared" si="5"/>
        <v/>
      </c>
      <c r="H180" s="38" t="str">
        <f>IF(C180="","",H179+'Pump calculator'!$B$7)</f>
        <v/>
      </c>
    </row>
    <row r="181" spans="1:8" x14ac:dyDescent="0.25">
      <c r="A181" s="38">
        <v>180</v>
      </c>
      <c r="C181" s="38" t="str">
        <f>IF(A181&lt;='Pump calculator'!$B$14,LATtab!A181,"")</f>
        <v/>
      </c>
      <c r="D181" s="38" t="str">
        <f>IF(C181="","",(10.583*'Pump calculator'!$B$7*(LATtab!G180/1000)^1.85)/('Pump calculator'!$B$12^1.85*('Pump calculator'!$B$11/1000)^4.87))</f>
        <v/>
      </c>
      <c r="E181" s="115" t="str">
        <f t="shared" si="4"/>
        <v/>
      </c>
      <c r="F181" s="38" t="str">
        <f>IF(C181="","",(0.62*(PI()*(('Pump calculator'!$B$6/2)/1000)^2)*SQRT(2*9.81*'Pump calculator'!$B$10))*1000)</f>
        <v/>
      </c>
      <c r="G181" s="38" t="str">
        <f t="shared" si="5"/>
        <v/>
      </c>
      <c r="H181" s="38" t="str">
        <f>IF(C181="","",H180+'Pump calculator'!$B$7)</f>
        <v/>
      </c>
    </row>
    <row r="182" spans="1:8" x14ac:dyDescent="0.25">
      <c r="A182" s="38">
        <v>181</v>
      </c>
      <c r="C182" s="38" t="str">
        <f>IF(A182&lt;='Pump calculator'!$B$14,LATtab!A182,"")</f>
        <v/>
      </c>
      <c r="D182" s="38" t="str">
        <f>IF(C182="","",(10.583*'Pump calculator'!$B$7*(LATtab!G181/1000)^1.85)/('Pump calculator'!$B$12^1.85*('Pump calculator'!$B$11/1000)^4.87))</f>
        <v/>
      </c>
      <c r="E182" s="115" t="str">
        <f t="shared" si="4"/>
        <v/>
      </c>
      <c r="F182" s="38" t="str">
        <f>IF(C182="","",(0.62*(PI()*(('Pump calculator'!$B$6/2)/1000)^2)*SQRT(2*9.81*'Pump calculator'!$B$10))*1000)</f>
        <v/>
      </c>
      <c r="G182" s="38" t="str">
        <f t="shared" si="5"/>
        <v/>
      </c>
      <c r="H182" s="38" t="str">
        <f>IF(C182="","",H181+'Pump calculator'!$B$7)</f>
        <v/>
      </c>
    </row>
    <row r="183" spans="1:8" x14ac:dyDescent="0.25">
      <c r="A183" s="38">
        <v>182</v>
      </c>
      <c r="C183" s="38" t="str">
        <f>IF(A183&lt;='Pump calculator'!$B$14,LATtab!A183,"")</f>
        <v/>
      </c>
      <c r="D183" s="38" t="str">
        <f>IF(C183="","",(10.583*'Pump calculator'!$B$7*(LATtab!G182/1000)^1.85)/('Pump calculator'!$B$12^1.85*('Pump calculator'!$B$11/1000)^4.87))</f>
        <v/>
      </c>
      <c r="E183" s="115" t="str">
        <f t="shared" si="4"/>
        <v/>
      </c>
      <c r="F183" s="38" t="str">
        <f>IF(C183="","",(0.62*(PI()*(('Pump calculator'!$B$6/2)/1000)^2)*SQRT(2*9.81*'Pump calculator'!$B$10))*1000)</f>
        <v/>
      </c>
      <c r="G183" s="38" t="str">
        <f t="shared" si="5"/>
        <v/>
      </c>
      <c r="H183" s="38" t="str">
        <f>IF(C183="","",H182+'Pump calculator'!$B$7)</f>
        <v/>
      </c>
    </row>
    <row r="184" spans="1:8" x14ac:dyDescent="0.25">
      <c r="A184" s="38">
        <v>183</v>
      </c>
      <c r="C184" s="38" t="str">
        <f>IF(A184&lt;='Pump calculator'!$B$14,LATtab!A184,"")</f>
        <v/>
      </c>
      <c r="D184" s="38" t="str">
        <f>IF(C184="","",(10.583*'Pump calculator'!$B$7*(LATtab!G183/1000)^1.85)/('Pump calculator'!$B$12^1.85*('Pump calculator'!$B$11/1000)^4.87))</f>
        <v/>
      </c>
      <c r="E184" s="115" t="str">
        <f t="shared" si="4"/>
        <v/>
      </c>
      <c r="F184" s="38" t="str">
        <f>IF(C184="","",(0.62*(PI()*(('Pump calculator'!$B$6/2)/1000)^2)*SQRT(2*9.81*'Pump calculator'!$B$10))*1000)</f>
        <v/>
      </c>
      <c r="G184" s="38" t="str">
        <f t="shared" si="5"/>
        <v/>
      </c>
      <c r="H184" s="38" t="str">
        <f>IF(C184="","",H183+'Pump calculator'!$B$7)</f>
        <v/>
      </c>
    </row>
    <row r="185" spans="1:8" x14ac:dyDescent="0.25">
      <c r="A185" s="38">
        <v>184</v>
      </c>
      <c r="C185" s="38" t="str">
        <f>IF(A185&lt;='Pump calculator'!$B$14,LATtab!A185,"")</f>
        <v/>
      </c>
      <c r="D185" s="38" t="str">
        <f>IF(C185="","",(10.583*'Pump calculator'!$B$7*(LATtab!G184/1000)^1.85)/('Pump calculator'!$B$12^1.85*('Pump calculator'!$B$11/1000)^4.87))</f>
        <v/>
      </c>
      <c r="E185" s="115" t="str">
        <f t="shared" si="4"/>
        <v/>
      </c>
      <c r="F185" s="38" t="str">
        <f>IF(C185="","",(0.62*(PI()*(('Pump calculator'!$B$6/2)/1000)^2)*SQRT(2*9.81*'Pump calculator'!$B$10))*1000)</f>
        <v/>
      </c>
      <c r="G185" s="38" t="str">
        <f t="shared" si="5"/>
        <v/>
      </c>
      <c r="H185" s="38" t="str">
        <f>IF(C185="","",H184+'Pump calculator'!$B$7)</f>
        <v/>
      </c>
    </row>
    <row r="186" spans="1:8" x14ac:dyDescent="0.25">
      <c r="A186" s="38">
        <v>185</v>
      </c>
      <c r="C186" s="38" t="str">
        <f>IF(A186&lt;='Pump calculator'!$B$14,LATtab!A186,"")</f>
        <v/>
      </c>
      <c r="D186" s="38" t="str">
        <f>IF(C186="","",(10.583*'Pump calculator'!$B$7*(LATtab!G185/1000)^1.85)/('Pump calculator'!$B$12^1.85*('Pump calculator'!$B$11/1000)^4.87))</f>
        <v/>
      </c>
      <c r="E186" s="115" t="str">
        <f t="shared" si="4"/>
        <v/>
      </c>
      <c r="F186" s="38" t="str">
        <f>IF(C186="","",(0.62*(PI()*(('Pump calculator'!$B$6/2)/1000)^2)*SQRT(2*9.81*'Pump calculator'!$B$10))*1000)</f>
        <v/>
      </c>
      <c r="G186" s="38" t="str">
        <f t="shared" si="5"/>
        <v/>
      </c>
      <c r="H186" s="38" t="str">
        <f>IF(C186="","",H185+'Pump calculator'!$B$7)</f>
        <v/>
      </c>
    </row>
    <row r="187" spans="1:8" x14ac:dyDescent="0.25">
      <c r="A187" s="38">
        <v>186</v>
      </c>
      <c r="C187" s="38" t="str">
        <f>IF(A187&lt;='Pump calculator'!$B$14,LATtab!A187,"")</f>
        <v/>
      </c>
      <c r="D187" s="38" t="str">
        <f>IF(C187="","",(10.583*'Pump calculator'!$B$7*(LATtab!G186/1000)^1.85)/('Pump calculator'!$B$12^1.85*('Pump calculator'!$B$11/1000)^4.87))</f>
        <v/>
      </c>
      <c r="E187" s="115" t="str">
        <f t="shared" si="4"/>
        <v/>
      </c>
      <c r="F187" s="38" t="str">
        <f>IF(C187="","",(0.62*(PI()*(('Pump calculator'!$B$6/2)/1000)^2)*SQRT(2*9.81*'Pump calculator'!$B$10))*1000)</f>
        <v/>
      </c>
      <c r="G187" s="38" t="str">
        <f t="shared" si="5"/>
        <v/>
      </c>
      <c r="H187" s="38" t="str">
        <f>IF(C187="","",H186+'Pump calculator'!$B$7)</f>
        <v/>
      </c>
    </row>
    <row r="188" spans="1:8" x14ac:dyDescent="0.25">
      <c r="A188" s="38">
        <v>187</v>
      </c>
      <c r="C188" s="38" t="str">
        <f>IF(A188&lt;='Pump calculator'!$B$14,LATtab!A188,"")</f>
        <v/>
      </c>
      <c r="D188" s="38" t="str">
        <f>IF(C188="","",(10.583*'Pump calculator'!$B$7*(LATtab!G187/1000)^1.85)/('Pump calculator'!$B$12^1.85*('Pump calculator'!$B$11/1000)^4.87))</f>
        <v/>
      </c>
      <c r="E188" s="115" t="str">
        <f t="shared" si="4"/>
        <v/>
      </c>
      <c r="F188" s="38" t="str">
        <f>IF(C188="","",(0.62*(PI()*(('Pump calculator'!$B$6/2)/1000)^2)*SQRT(2*9.81*'Pump calculator'!$B$10))*1000)</f>
        <v/>
      </c>
      <c r="G188" s="38" t="str">
        <f t="shared" si="5"/>
        <v/>
      </c>
      <c r="H188" s="38" t="str">
        <f>IF(C188="","",H187+'Pump calculator'!$B$7)</f>
        <v/>
      </c>
    </row>
    <row r="189" spans="1:8" x14ac:dyDescent="0.25">
      <c r="A189" s="38">
        <v>188</v>
      </c>
      <c r="C189" s="38" t="str">
        <f>IF(A189&lt;='Pump calculator'!$B$14,LATtab!A189,"")</f>
        <v/>
      </c>
      <c r="D189" s="38" t="str">
        <f>IF(C189="","",(10.583*'Pump calculator'!$B$7*(LATtab!G188/1000)^1.85)/('Pump calculator'!$B$12^1.85*('Pump calculator'!$B$11/1000)^4.87))</f>
        <v/>
      </c>
      <c r="E189" s="115" t="str">
        <f t="shared" si="4"/>
        <v/>
      </c>
      <c r="F189" s="38" t="str">
        <f>IF(C189="","",(0.62*(PI()*(('Pump calculator'!$B$6/2)/1000)^2)*SQRT(2*9.81*'Pump calculator'!$B$10))*1000)</f>
        <v/>
      </c>
      <c r="G189" s="38" t="str">
        <f t="shared" si="5"/>
        <v/>
      </c>
      <c r="H189" s="38" t="str">
        <f>IF(C189="","",H188+'Pump calculator'!$B$7)</f>
        <v/>
      </c>
    </row>
    <row r="190" spans="1:8" x14ac:dyDescent="0.25">
      <c r="A190" s="38">
        <v>189</v>
      </c>
      <c r="C190" s="38" t="str">
        <f>IF(A190&lt;='Pump calculator'!$B$14,LATtab!A190,"")</f>
        <v/>
      </c>
      <c r="D190" s="38" t="str">
        <f>IF(C190="","",(10.583*'Pump calculator'!$B$7*(LATtab!G189/1000)^1.85)/('Pump calculator'!$B$12^1.85*('Pump calculator'!$B$11/1000)^4.87))</f>
        <v/>
      </c>
      <c r="E190" s="115" t="str">
        <f t="shared" si="4"/>
        <v/>
      </c>
      <c r="F190" s="38" t="str">
        <f>IF(C190="","",(0.62*(PI()*(('Pump calculator'!$B$6/2)/1000)^2)*SQRT(2*9.81*'Pump calculator'!$B$10))*1000)</f>
        <v/>
      </c>
      <c r="G190" s="38" t="str">
        <f t="shared" si="5"/>
        <v/>
      </c>
      <c r="H190" s="38" t="str">
        <f>IF(C190="","",H189+'Pump calculator'!$B$7)</f>
        <v/>
      </c>
    </row>
    <row r="191" spans="1:8" x14ac:dyDescent="0.25">
      <c r="A191" s="38">
        <v>190</v>
      </c>
      <c r="C191" s="38" t="str">
        <f>IF(A191&lt;='Pump calculator'!$B$14,LATtab!A191,"")</f>
        <v/>
      </c>
      <c r="D191" s="38" t="str">
        <f>IF(C191="","",(10.583*'Pump calculator'!$B$7*(LATtab!G190/1000)^1.85)/('Pump calculator'!$B$12^1.85*('Pump calculator'!$B$11/1000)^4.87))</f>
        <v/>
      </c>
      <c r="E191" s="115" t="str">
        <f t="shared" si="4"/>
        <v/>
      </c>
      <c r="F191" s="38" t="str">
        <f>IF(C191="","",(0.62*(PI()*(('Pump calculator'!$B$6/2)/1000)^2)*SQRT(2*9.81*'Pump calculator'!$B$10))*1000)</f>
        <v/>
      </c>
      <c r="G191" s="38" t="str">
        <f t="shared" si="5"/>
        <v/>
      </c>
      <c r="H191" s="38" t="str">
        <f>IF(C191="","",H190+'Pump calculator'!$B$7)</f>
        <v/>
      </c>
    </row>
    <row r="192" spans="1:8" x14ac:dyDescent="0.25">
      <c r="A192" s="38">
        <v>191</v>
      </c>
      <c r="C192" s="38" t="str">
        <f>IF(A192&lt;='Pump calculator'!$B$14,LATtab!A192,"")</f>
        <v/>
      </c>
      <c r="D192" s="38" t="str">
        <f>IF(C192="","",(10.583*'Pump calculator'!$B$7*(LATtab!G191/1000)^1.85)/('Pump calculator'!$B$12^1.85*('Pump calculator'!$B$11/1000)^4.87))</f>
        <v/>
      </c>
      <c r="E192" s="115" t="str">
        <f t="shared" si="4"/>
        <v/>
      </c>
      <c r="F192" s="38" t="str">
        <f>IF(C192="","",(0.62*(PI()*(('Pump calculator'!$B$6/2)/1000)^2)*SQRT(2*9.81*'Pump calculator'!$B$10))*1000)</f>
        <v/>
      </c>
      <c r="G192" s="38" t="str">
        <f t="shared" si="5"/>
        <v/>
      </c>
      <c r="H192" s="38" t="str">
        <f>IF(C192="","",H191+'Pump calculator'!$B$7)</f>
        <v/>
      </c>
    </row>
    <row r="193" spans="1:8" x14ac:dyDescent="0.25">
      <c r="A193" s="38">
        <v>192</v>
      </c>
      <c r="C193" s="38" t="str">
        <f>IF(A193&lt;='Pump calculator'!$B$14,LATtab!A193,"")</f>
        <v/>
      </c>
      <c r="D193" s="38" t="str">
        <f>IF(C193="","",(10.583*'Pump calculator'!$B$7*(LATtab!G192/1000)^1.85)/('Pump calculator'!$B$12^1.85*('Pump calculator'!$B$11/1000)^4.87))</f>
        <v/>
      </c>
      <c r="E193" s="115" t="str">
        <f t="shared" si="4"/>
        <v/>
      </c>
      <c r="F193" s="38" t="str">
        <f>IF(C193="","",(0.62*(PI()*(('Pump calculator'!$B$6/2)/1000)^2)*SQRT(2*9.81*'Pump calculator'!$B$10))*1000)</f>
        <v/>
      </c>
      <c r="G193" s="38" t="str">
        <f t="shared" si="5"/>
        <v/>
      </c>
      <c r="H193" s="38" t="str">
        <f>IF(C193="","",H192+'Pump calculator'!$B$7)</f>
        <v/>
      </c>
    </row>
    <row r="194" spans="1:8" x14ac:dyDescent="0.25">
      <c r="A194" s="38">
        <v>193</v>
      </c>
      <c r="C194" s="38" t="str">
        <f>IF(A194&lt;='Pump calculator'!$B$14,LATtab!A194,"")</f>
        <v/>
      </c>
      <c r="D194" s="38" t="str">
        <f>IF(C194="","",(10.583*'Pump calculator'!$B$7*(LATtab!G193/1000)^1.85)/('Pump calculator'!$B$12^1.85*('Pump calculator'!$B$11/1000)^4.87))</f>
        <v/>
      </c>
      <c r="E194" s="115" t="str">
        <f t="shared" si="4"/>
        <v/>
      </c>
      <c r="F194" s="38" t="str">
        <f>IF(C194="","",(0.62*(PI()*(('Pump calculator'!$B$6/2)/1000)^2)*SQRT(2*9.81*'Pump calculator'!$B$10))*1000)</f>
        <v/>
      </c>
      <c r="G194" s="38" t="str">
        <f t="shared" si="5"/>
        <v/>
      </c>
      <c r="H194" s="38" t="str">
        <f>IF(C194="","",H193+'Pump calculator'!$B$7)</f>
        <v/>
      </c>
    </row>
    <row r="195" spans="1:8" x14ac:dyDescent="0.25">
      <c r="A195" s="38">
        <v>194</v>
      </c>
      <c r="C195" s="38" t="str">
        <f>IF(A195&lt;='Pump calculator'!$B$14,LATtab!A195,"")</f>
        <v/>
      </c>
      <c r="D195" s="38" t="str">
        <f>IF(C195="","",(10.583*'Pump calculator'!$B$7*(LATtab!G194/1000)^1.85)/('Pump calculator'!$B$12^1.85*('Pump calculator'!$B$11/1000)^4.87))</f>
        <v/>
      </c>
      <c r="E195" s="115" t="str">
        <f t="shared" si="4"/>
        <v/>
      </c>
      <c r="F195" s="38" t="str">
        <f>IF(C195="","",(0.62*(PI()*(('Pump calculator'!$B$6/2)/1000)^2)*SQRT(2*9.81*'Pump calculator'!$B$10))*1000)</f>
        <v/>
      </c>
      <c r="G195" s="38" t="str">
        <f t="shared" si="5"/>
        <v/>
      </c>
      <c r="H195" s="38" t="str">
        <f>IF(C195="","",H194+'Pump calculator'!$B$7)</f>
        <v/>
      </c>
    </row>
    <row r="196" spans="1:8" x14ac:dyDescent="0.25">
      <c r="A196" s="38">
        <v>195</v>
      </c>
      <c r="C196" s="38" t="str">
        <f>IF(A196&lt;='Pump calculator'!$B$14,LATtab!A196,"")</f>
        <v/>
      </c>
      <c r="D196" s="38" t="str">
        <f>IF(C196="","",(10.583*'Pump calculator'!$B$7*(LATtab!G195/1000)^1.85)/('Pump calculator'!$B$12^1.85*('Pump calculator'!$B$11/1000)^4.87))</f>
        <v/>
      </c>
      <c r="E196" s="115" t="str">
        <f t="shared" ref="E196:E250" si="6">IF(C196="","",E195+D196)</f>
        <v/>
      </c>
      <c r="F196" s="38" t="str">
        <f>IF(C196="","",(0.62*(PI()*(('Pump calculator'!$B$6/2)/1000)^2)*SQRT(2*9.81*'Pump calculator'!$B$10))*1000)</f>
        <v/>
      </c>
      <c r="G196" s="38" t="str">
        <f t="shared" ref="G196:G250" si="7">IF(C196="","",F196+G195)</f>
        <v/>
      </c>
      <c r="H196" s="38" t="str">
        <f>IF(C196="","",H195+'Pump calculator'!$B$7)</f>
        <v/>
      </c>
    </row>
    <row r="197" spans="1:8" x14ac:dyDescent="0.25">
      <c r="A197" s="38">
        <v>196</v>
      </c>
      <c r="C197" s="38" t="str">
        <f>IF(A197&lt;='Pump calculator'!$B$14,LATtab!A197,"")</f>
        <v/>
      </c>
      <c r="D197" s="38" t="str">
        <f>IF(C197="","",(10.583*'Pump calculator'!$B$7*(LATtab!G196/1000)^1.85)/('Pump calculator'!$B$12^1.85*('Pump calculator'!$B$11/1000)^4.87))</f>
        <v/>
      </c>
      <c r="E197" s="115" t="str">
        <f t="shared" si="6"/>
        <v/>
      </c>
      <c r="F197" s="38" t="str">
        <f>IF(C197="","",(0.62*(PI()*(('Pump calculator'!$B$6/2)/1000)^2)*SQRT(2*9.81*'Pump calculator'!$B$10))*1000)</f>
        <v/>
      </c>
      <c r="G197" s="38" t="str">
        <f t="shared" si="7"/>
        <v/>
      </c>
      <c r="H197" s="38" t="str">
        <f>IF(C197="","",H196+'Pump calculator'!$B$7)</f>
        <v/>
      </c>
    </row>
    <row r="198" spans="1:8" x14ac:dyDescent="0.25">
      <c r="A198" s="38">
        <v>197</v>
      </c>
      <c r="C198" s="38" t="str">
        <f>IF(A198&lt;='Pump calculator'!$B$14,LATtab!A198,"")</f>
        <v/>
      </c>
      <c r="D198" s="38" t="str">
        <f>IF(C198="","",(10.583*'Pump calculator'!$B$7*(LATtab!G197/1000)^1.85)/('Pump calculator'!$B$12^1.85*('Pump calculator'!$B$11/1000)^4.87))</f>
        <v/>
      </c>
      <c r="E198" s="115" t="str">
        <f t="shared" si="6"/>
        <v/>
      </c>
      <c r="F198" s="38" t="str">
        <f>IF(C198="","",(0.62*(PI()*(('Pump calculator'!$B$6/2)/1000)^2)*SQRT(2*9.81*'Pump calculator'!$B$10))*1000)</f>
        <v/>
      </c>
      <c r="G198" s="38" t="str">
        <f t="shared" si="7"/>
        <v/>
      </c>
      <c r="H198" s="38" t="str">
        <f>IF(C198="","",H197+'Pump calculator'!$B$7)</f>
        <v/>
      </c>
    </row>
    <row r="199" spans="1:8" x14ac:dyDescent="0.25">
      <c r="A199" s="38">
        <v>198</v>
      </c>
      <c r="C199" s="38" t="str">
        <f>IF(A199&lt;='Pump calculator'!$B$14,LATtab!A199,"")</f>
        <v/>
      </c>
      <c r="D199" s="38" t="str">
        <f>IF(C199="","",(10.583*'Pump calculator'!$B$7*(LATtab!G198/1000)^1.85)/('Pump calculator'!$B$12^1.85*('Pump calculator'!$B$11/1000)^4.87))</f>
        <v/>
      </c>
      <c r="E199" s="115" t="str">
        <f t="shared" si="6"/>
        <v/>
      </c>
      <c r="F199" s="38" t="str">
        <f>IF(C199="","",(0.62*(PI()*(('Pump calculator'!$B$6/2)/1000)^2)*SQRT(2*9.81*'Pump calculator'!$B$10))*1000)</f>
        <v/>
      </c>
      <c r="G199" s="38" t="str">
        <f t="shared" si="7"/>
        <v/>
      </c>
      <c r="H199" s="38" t="str">
        <f>IF(C199="","",H198+'Pump calculator'!$B$7)</f>
        <v/>
      </c>
    </row>
    <row r="200" spans="1:8" x14ac:dyDescent="0.25">
      <c r="A200" s="38">
        <v>199</v>
      </c>
      <c r="C200" s="38" t="str">
        <f>IF(A200&lt;='Pump calculator'!$B$14,LATtab!A200,"")</f>
        <v/>
      </c>
      <c r="D200" s="38" t="str">
        <f>IF(C200="","",(10.583*'Pump calculator'!$B$7*(LATtab!G199/1000)^1.85)/('Pump calculator'!$B$12^1.85*('Pump calculator'!$B$11/1000)^4.87))</f>
        <v/>
      </c>
      <c r="E200" s="115" t="str">
        <f t="shared" si="6"/>
        <v/>
      </c>
      <c r="F200" s="38" t="str">
        <f>IF(C200="","",(0.62*(PI()*(('Pump calculator'!$B$6/2)/1000)^2)*SQRT(2*9.81*'Pump calculator'!$B$10))*1000)</f>
        <v/>
      </c>
      <c r="G200" s="38" t="str">
        <f t="shared" si="7"/>
        <v/>
      </c>
      <c r="H200" s="38" t="str">
        <f>IF(C200="","",H199+'Pump calculator'!$B$7)</f>
        <v/>
      </c>
    </row>
    <row r="201" spans="1:8" x14ac:dyDescent="0.25">
      <c r="A201" s="38">
        <v>200</v>
      </c>
      <c r="C201" s="38" t="str">
        <f>IF(A201&lt;='Pump calculator'!$B$14,LATtab!A201,"")</f>
        <v/>
      </c>
      <c r="D201" s="38" t="str">
        <f>IF(C201="","",(10.583*'Pump calculator'!$B$7*(LATtab!G200/1000)^1.85)/('Pump calculator'!$B$12^1.85*('Pump calculator'!$B$11/1000)^4.87))</f>
        <v/>
      </c>
      <c r="E201" s="115" t="str">
        <f t="shared" si="6"/>
        <v/>
      </c>
      <c r="F201" s="38" t="str">
        <f>IF(C201="","",(0.62*(PI()*(('Pump calculator'!$B$6/2)/1000)^2)*SQRT(2*9.81*'Pump calculator'!$B$10))*1000)</f>
        <v/>
      </c>
      <c r="G201" s="38" t="str">
        <f t="shared" si="7"/>
        <v/>
      </c>
      <c r="H201" s="38" t="str">
        <f>IF(C201="","",H200+'Pump calculator'!$B$7)</f>
        <v/>
      </c>
    </row>
    <row r="202" spans="1:8" x14ac:dyDescent="0.25">
      <c r="A202" s="38">
        <v>201</v>
      </c>
      <c r="C202" s="38" t="str">
        <f>IF(A202&lt;='Pump calculator'!$B$14,LATtab!A202,"")</f>
        <v/>
      </c>
      <c r="D202" s="38" t="str">
        <f>IF(C202="","",(10.583*'Pump calculator'!$B$7*(LATtab!G201/1000)^1.85)/('Pump calculator'!$B$12^1.85*('Pump calculator'!$B$11/1000)^4.87))</f>
        <v/>
      </c>
      <c r="E202" s="115" t="str">
        <f t="shared" si="6"/>
        <v/>
      </c>
      <c r="F202" s="38" t="str">
        <f>IF(C202="","",(0.62*(PI()*(('Pump calculator'!$B$6/2)/1000)^2)*SQRT(2*9.81*'Pump calculator'!$B$10))*1000)</f>
        <v/>
      </c>
      <c r="G202" s="38" t="str">
        <f t="shared" si="7"/>
        <v/>
      </c>
      <c r="H202" s="38" t="str">
        <f>IF(C202="","",H201+'Pump calculator'!$B$7)</f>
        <v/>
      </c>
    </row>
    <row r="203" spans="1:8" x14ac:dyDescent="0.25">
      <c r="A203" s="38">
        <v>202</v>
      </c>
      <c r="C203" s="38" t="str">
        <f>IF(A203&lt;='Pump calculator'!$B$14,LATtab!A203,"")</f>
        <v/>
      </c>
      <c r="D203" s="38" t="str">
        <f>IF(C203="","",(10.583*'Pump calculator'!$B$7*(LATtab!G202/1000)^1.85)/('Pump calculator'!$B$12^1.85*('Pump calculator'!$B$11/1000)^4.87))</f>
        <v/>
      </c>
      <c r="E203" s="115" t="str">
        <f t="shared" si="6"/>
        <v/>
      </c>
      <c r="F203" s="38" t="str">
        <f>IF(C203="","",(0.62*(PI()*(('Pump calculator'!$B$6/2)/1000)^2)*SQRT(2*9.81*'Pump calculator'!$B$10))*1000)</f>
        <v/>
      </c>
      <c r="G203" s="38" t="str">
        <f t="shared" si="7"/>
        <v/>
      </c>
      <c r="H203" s="38" t="str">
        <f>IF(C203="","",H202+'Pump calculator'!$B$7)</f>
        <v/>
      </c>
    </row>
    <row r="204" spans="1:8" x14ac:dyDescent="0.25">
      <c r="A204" s="38">
        <v>203</v>
      </c>
      <c r="C204" s="38" t="str">
        <f>IF(A204&lt;='Pump calculator'!$B$14,LATtab!A204,"")</f>
        <v/>
      </c>
      <c r="D204" s="38" t="str">
        <f>IF(C204="","",(10.583*'Pump calculator'!$B$7*(LATtab!G203/1000)^1.85)/('Pump calculator'!$B$12^1.85*('Pump calculator'!$B$11/1000)^4.87))</f>
        <v/>
      </c>
      <c r="E204" s="115" t="str">
        <f t="shared" si="6"/>
        <v/>
      </c>
      <c r="F204" s="38" t="str">
        <f>IF(C204="","",(0.62*(PI()*(('Pump calculator'!$B$6/2)/1000)^2)*SQRT(2*9.81*'Pump calculator'!$B$10))*1000)</f>
        <v/>
      </c>
      <c r="G204" s="38" t="str">
        <f t="shared" si="7"/>
        <v/>
      </c>
      <c r="H204" s="38" t="str">
        <f>IF(C204="","",H203+'Pump calculator'!$B$7)</f>
        <v/>
      </c>
    </row>
    <row r="205" spans="1:8" x14ac:dyDescent="0.25">
      <c r="A205" s="38">
        <v>204</v>
      </c>
      <c r="C205" s="38" t="str">
        <f>IF(A205&lt;='Pump calculator'!$B$14,LATtab!A205,"")</f>
        <v/>
      </c>
      <c r="D205" s="38" t="str">
        <f>IF(C205="","",(10.583*'Pump calculator'!$B$7*(LATtab!G204/1000)^1.85)/('Pump calculator'!$B$12^1.85*('Pump calculator'!$B$11/1000)^4.87))</f>
        <v/>
      </c>
      <c r="E205" s="115" t="str">
        <f t="shared" si="6"/>
        <v/>
      </c>
      <c r="F205" s="38" t="str">
        <f>IF(C205="","",(0.62*(PI()*(('Pump calculator'!$B$6/2)/1000)^2)*SQRT(2*9.81*'Pump calculator'!$B$10))*1000)</f>
        <v/>
      </c>
      <c r="G205" s="38" t="str">
        <f t="shared" si="7"/>
        <v/>
      </c>
      <c r="H205" s="38" t="str">
        <f>IF(C205="","",H204+'Pump calculator'!$B$7)</f>
        <v/>
      </c>
    </row>
    <row r="206" spans="1:8" x14ac:dyDescent="0.25">
      <c r="A206" s="38">
        <v>205</v>
      </c>
      <c r="C206" s="38" t="str">
        <f>IF(A206&lt;='Pump calculator'!$B$14,LATtab!A206,"")</f>
        <v/>
      </c>
      <c r="D206" s="38" t="str">
        <f>IF(C206="","",(10.583*'Pump calculator'!$B$7*(LATtab!G205/1000)^1.85)/('Pump calculator'!$B$12^1.85*('Pump calculator'!$B$11/1000)^4.87))</f>
        <v/>
      </c>
      <c r="E206" s="115" t="str">
        <f t="shared" si="6"/>
        <v/>
      </c>
      <c r="F206" s="38" t="str">
        <f>IF(C206="","",(0.62*(PI()*(('Pump calculator'!$B$6/2)/1000)^2)*SQRT(2*9.81*'Pump calculator'!$B$10))*1000)</f>
        <v/>
      </c>
      <c r="G206" s="38" t="str">
        <f t="shared" si="7"/>
        <v/>
      </c>
      <c r="H206" s="38" t="str">
        <f>IF(C206="","",H205+'Pump calculator'!$B$7)</f>
        <v/>
      </c>
    </row>
    <row r="207" spans="1:8" x14ac:dyDescent="0.25">
      <c r="A207" s="38">
        <v>206</v>
      </c>
      <c r="C207" s="38" t="str">
        <f>IF(A207&lt;='Pump calculator'!$B$14,LATtab!A207,"")</f>
        <v/>
      </c>
      <c r="D207" s="38" t="str">
        <f>IF(C207="","",(10.583*'Pump calculator'!$B$7*(LATtab!G206/1000)^1.85)/('Pump calculator'!$B$12^1.85*('Pump calculator'!$B$11/1000)^4.87))</f>
        <v/>
      </c>
      <c r="E207" s="115" t="str">
        <f t="shared" si="6"/>
        <v/>
      </c>
      <c r="F207" s="38" t="str">
        <f>IF(C207="","",(0.62*(PI()*(('Pump calculator'!$B$6/2)/1000)^2)*SQRT(2*9.81*'Pump calculator'!$B$10))*1000)</f>
        <v/>
      </c>
      <c r="G207" s="38" t="str">
        <f t="shared" si="7"/>
        <v/>
      </c>
      <c r="H207" s="38" t="str">
        <f>IF(C207="","",H206+'Pump calculator'!$B$7)</f>
        <v/>
      </c>
    </row>
    <row r="208" spans="1:8" x14ac:dyDescent="0.25">
      <c r="A208" s="38">
        <v>207</v>
      </c>
      <c r="C208" s="38" t="str">
        <f>IF(A208&lt;='Pump calculator'!$B$14,LATtab!A208,"")</f>
        <v/>
      </c>
      <c r="D208" s="38" t="str">
        <f>IF(C208="","",(10.583*'Pump calculator'!$B$7*(LATtab!G207/1000)^1.85)/('Pump calculator'!$B$12^1.85*('Pump calculator'!$B$11/1000)^4.87))</f>
        <v/>
      </c>
      <c r="E208" s="115" t="str">
        <f t="shared" si="6"/>
        <v/>
      </c>
      <c r="F208" s="38" t="str">
        <f>IF(C208="","",(0.62*(PI()*(('Pump calculator'!$B$6/2)/1000)^2)*SQRT(2*9.81*'Pump calculator'!$B$10))*1000)</f>
        <v/>
      </c>
      <c r="G208" s="38" t="str">
        <f t="shared" si="7"/>
        <v/>
      </c>
      <c r="H208" s="38" t="str">
        <f>IF(C208="","",H207+'Pump calculator'!$B$7)</f>
        <v/>
      </c>
    </row>
    <row r="209" spans="1:8" x14ac:dyDescent="0.25">
      <c r="A209" s="38">
        <v>208</v>
      </c>
      <c r="C209" s="38" t="str">
        <f>IF(A209&lt;='Pump calculator'!$B$14,LATtab!A209,"")</f>
        <v/>
      </c>
      <c r="D209" s="38" t="str">
        <f>IF(C209="","",(10.583*'Pump calculator'!$B$7*(LATtab!G208/1000)^1.85)/('Pump calculator'!$B$12^1.85*('Pump calculator'!$B$11/1000)^4.87))</f>
        <v/>
      </c>
      <c r="E209" s="115" t="str">
        <f t="shared" si="6"/>
        <v/>
      </c>
      <c r="F209" s="38" t="str">
        <f>IF(C209="","",(0.62*(PI()*(('Pump calculator'!$B$6/2)/1000)^2)*SQRT(2*9.81*'Pump calculator'!$B$10))*1000)</f>
        <v/>
      </c>
      <c r="G209" s="38" t="str">
        <f t="shared" si="7"/>
        <v/>
      </c>
      <c r="H209" s="38" t="str">
        <f>IF(C209="","",H208+'Pump calculator'!$B$7)</f>
        <v/>
      </c>
    </row>
    <row r="210" spans="1:8" x14ac:dyDescent="0.25">
      <c r="A210" s="38">
        <v>209</v>
      </c>
      <c r="C210" s="38" t="str">
        <f>IF(A210&lt;='Pump calculator'!$B$14,LATtab!A210,"")</f>
        <v/>
      </c>
      <c r="D210" s="38" t="str">
        <f>IF(C210="","",(10.583*'Pump calculator'!$B$7*(LATtab!G209/1000)^1.85)/('Pump calculator'!$B$12^1.85*('Pump calculator'!$B$11/1000)^4.87))</f>
        <v/>
      </c>
      <c r="E210" s="115" t="str">
        <f t="shared" si="6"/>
        <v/>
      </c>
      <c r="F210" s="38" t="str">
        <f>IF(C210="","",(0.62*(PI()*(('Pump calculator'!$B$6/2)/1000)^2)*SQRT(2*9.81*'Pump calculator'!$B$10))*1000)</f>
        <v/>
      </c>
      <c r="G210" s="38" t="str">
        <f t="shared" si="7"/>
        <v/>
      </c>
      <c r="H210" s="38" t="str">
        <f>IF(C210="","",H209+'Pump calculator'!$B$7)</f>
        <v/>
      </c>
    </row>
    <row r="211" spans="1:8" x14ac:dyDescent="0.25">
      <c r="A211" s="38">
        <v>210</v>
      </c>
      <c r="C211" s="38" t="str">
        <f>IF(A211&lt;='Pump calculator'!$B$14,LATtab!A211,"")</f>
        <v/>
      </c>
      <c r="D211" s="38" t="str">
        <f>IF(C211="","",(10.583*'Pump calculator'!$B$7*(LATtab!G210/1000)^1.85)/('Pump calculator'!$B$12^1.85*('Pump calculator'!$B$11/1000)^4.87))</f>
        <v/>
      </c>
      <c r="E211" s="115" t="str">
        <f t="shared" si="6"/>
        <v/>
      </c>
      <c r="F211" s="38" t="str">
        <f>IF(C211="","",(0.62*(PI()*(('Pump calculator'!$B$6/2)/1000)^2)*SQRT(2*9.81*'Pump calculator'!$B$10))*1000)</f>
        <v/>
      </c>
      <c r="G211" s="38" t="str">
        <f t="shared" si="7"/>
        <v/>
      </c>
      <c r="H211" s="38" t="str">
        <f>IF(C211="","",H210+'Pump calculator'!$B$7)</f>
        <v/>
      </c>
    </row>
    <row r="212" spans="1:8" x14ac:dyDescent="0.25">
      <c r="A212" s="38">
        <v>211</v>
      </c>
      <c r="C212" s="38" t="str">
        <f>IF(A212&lt;='Pump calculator'!$B$14,LATtab!A212,"")</f>
        <v/>
      </c>
      <c r="D212" s="38" t="str">
        <f>IF(C212="","",(10.583*'Pump calculator'!$B$7*(LATtab!G211/1000)^1.85)/('Pump calculator'!$B$12^1.85*('Pump calculator'!$B$11/1000)^4.87))</f>
        <v/>
      </c>
      <c r="E212" s="115" t="str">
        <f t="shared" si="6"/>
        <v/>
      </c>
      <c r="F212" s="38" t="str">
        <f>IF(C212="","",(0.62*(PI()*(('Pump calculator'!$B$6/2)/1000)^2)*SQRT(2*9.81*'Pump calculator'!$B$10))*1000)</f>
        <v/>
      </c>
      <c r="G212" s="38" t="str">
        <f t="shared" si="7"/>
        <v/>
      </c>
      <c r="H212" s="38" t="str">
        <f>IF(C212="","",H211+'Pump calculator'!$B$7)</f>
        <v/>
      </c>
    </row>
    <row r="213" spans="1:8" x14ac:dyDescent="0.25">
      <c r="A213" s="38">
        <v>212</v>
      </c>
      <c r="C213" s="38" t="str">
        <f>IF(A213&lt;='Pump calculator'!$B$14,LATtab!A213,"")</f>
        <v/>
      </c>
      <c r="D213" s="38" t="str">
        <f>IF(C213="","",(10.583*'Pump calculator'!$B$7*(LATtab!G212/1000)^1.85)/('Pump calculator'!$B$12^1.85*('Pump calculator'!$B$11/1000)^4.87))</f>
        <v/>
      </c>
      <c r="E213" s="115" t="str">
        <f t="shared" si="6"/>
        <v/>
      </c>
      <c r="F213" s="38" t="str">
        <f>IF(C213="","",(0.62*(PI()*(('Pump calculator'!$B$6/2)/1000)^2)*SQRT(2*9.81*'Pump calculator'!$B$10))*1000)</f>
        <v/>
      </c>
      <c r="G213" s="38" t="str">
        <f t="shared" si="7"/>
        <v/>
      </c>
      <c r="H213" s="38" t="str">
        <f>IF(C213="","",H212+'Pump calculator'!$B$7)</f>
        <v/>
      </c>
    </row>
    <row r="214" spans="1:8" x14ac:dyDescent="0.25">
      <c r="A214" s="38">
        <v>213</v>
      </c>
      <c r="C214" s="38" t="str">
        <f>IF(A214&lt;='Pump calculator'!$B$14,LATtab!A214,"")</f>
        <v/>
      </c>
      <c r="D214" s="38" t="str">
        <f>IF(C214="","",(10.583*'Pump calculator'!$B$7*(LATtab!G213/1000)^1.85)/('Pump calculator'!$B$12^1.85*('Pump calculator'!$B$11/1000)^4.87))</f>
        <v/>
      </c>
      <c r="E214" s="115" t="str">
        <f t="shared" si="6"/>
        <v/>
      </c>
      <c r="F214" s="38" t="str">
        <f>IF(C214="","",(0.62*(PI()*(('Pump calculator'!$B$6/2)/1000)^2)*SQRT(2*9.81*'Pump calculator'!$B$10))*1000)</f>
        <v/>
      </c>
      <c r="G214" s="38" t="str">
        <f t="shared" si="7"/>
        <v/>
      </c>
      <c r="H214" s="38" t="str">
        <f>IF(C214="","",H213+'Pump calculator'!$B$7)</f>
        <v/>
      </c>
    </row>
    <row r="215" spans="1:8" x14ac:dyDescent="0.25">
      <c r="A215" s="38">
        <v>214</v>
      </c>
      <c r="C215" s="38" t="str">
        <f>IF(A215&lt;='Pump calculator'!$B$14,LATtab!A215,"")</f>
        <v/>
      </c>
      <c r="D215" s="38" t="str">
        <f>IF(C215="","",(10.583*'Pump calculator'!$B$7*(LATtab!G214/1000)^1.85)/('Pump calculator'!$B$12^1.85*('Pump calculator'!$B$11/1000)^4.87))</f>
        <v/>
      </c>
      <c r="E215" s="115" t="str">
        <f t="shared" si="6"/>
        <v/>
      </c>
      <c r="F215" s="38" t="str">
        <f>IF(C215="","",(0.62*(PI()*(('Pump calculator'!$B$6/2)/1000)^2)*SQRT(2*9.81*'Pump calculator'!$B$10))*1000)</f>
        <v/>
      </c>
      <c r="G215" s="38" t="str">
        <f t="shared" si="7"/>
        <v/>
      </c>
      <c r="H215" s="38" t="str">
        <f>IF(C215="","",H214+'Pump calculator'!$B$7)</f>
        <v/>
      </c>
    </row>
    <row r="216" spans="1:8" x14ac:dyDescent="0.25">
      <c r="A216" s="38">
        <v>215</v>
      </c>
      <c r="C216" s="38" t="str">
        <f>IF(A216&lt;='Pump calculator'!$B$14,LATtab!A216,"")</f>
        <v/>
      </c>
      <c r="D216" s="38" t="str">
        <f>IF(C216="","",(10.583*'Pump calculator'!$B$7*(LATtab!G215/1000)^1.85)/('Pump calculator'!$B$12^1.85*('Pump calculator'!$B$11/1000)^4.87))</f>
        <v/>
      </c>
      <c r="E216" s="115" t="str">
        <f t="shared" si="6"/>
        <v/>
      </c>
      <c r="F216" s="38" t="str">
        <f>IF(C216="","",(0.62*(PI()*(('Pump calculator'!$B$6/2)/1000)^2)*SQRT(2*9.81*'Pump calculator'!$B$10))*1000)</f>
        <v/>
      </c>
      <c r="G216" s="38" t="str">
        <f t="shared" si="7"/>
        <v/>
      </c>
      <c r="H216" s="38" t="str">
        <f>IF(C216="","",H215+'Pump calculator'!$B$7)</f>
        <v/>
      </c>
    </row>
    <row r="217" spans="1:8" x14ac:dyDescent="0.25">
      <c r="A217" s="38">
        <v>216</v>
      </c>
      <c r="C217" s="38" t="str">
        <f>IF(A217&lt;='Pump calculator'!$B$14,LATtab!A217,"")</f>
        <v/>
      </c>
      <c r="D217" s="38" t="str">
        <f>IF(C217="","",(10.583*'Pump calculator'!$B$7*(LATtab!G216/1000)^1.85)/('Pump calculator'!$B$12^1.85*('Pump calculator'!$B$11/1000)^4.87))</f>
        <v/>
      </c>
      <c r="E217" s="115" t="str">
        <f t="shared" si="6"/>
        <v/>
      </c>
      <c r="F217" s="38" t="str">
        <f>IF(C217="","",(0.62*(PI()*(('Pump calculator'!$B$6/2)/1000)^2)*SQRT(2*9.81*'Pump calculator'!$B$10))*1000)</f>
        <v/>
      </c>
      <c r="G217" s="38" t="str">
        <f t="shared" si="7"/>
        <v/>
      </c>
      <c r="H217" s="38" t="str">
        <f>IF(C217="","",H216+'Pump calculator'!$B$7)</f>
        <v/>
      </c>
    </row>
    <row r="218" spans="1:8" x14ac:dyDescent="0.25">
      <c r="A218" s="38">
        <v>217</v>
      </c>
      <c r="C218" s="38" t="str">
        <f>IF(A218&lt;='Pump calculator'!$B$14,LATtab!A218,"")</f>
        <v/>
      </c>
      <c r="D218" s="38" t="str">
        <f>IF(C218="","",(10.583*'Pump calculator'!$B$7*(LATtab!G217/1000)^1.85)/('Pump calculator'!$B$12^1.85*('Pump calculator'!$B$11/1000)^4.87))</f>
        <v/>
      </c>
      <c r="E218" s="115" t="str">
        <f t="shared" si="6"/>
        <v/>
      </c>
      <c r="F218" s="38" t="str">
        <f>IF(C218="","",(0.62*(PI()*(('Pump calculator'!$B$6/2)/1000)^2)*SQRT(2*9.81*'Pump calculator'!$B$10))*1000)</f>
        <v/>
      </c>
      <c r="G218" s="38" t="str">
        <f t="shared" si="7"/>
        <v/>
      </c>
      <c r="H218" s="38" t="str">
        <f>IF(C218="","",H217+'Pump calculator'!$B$7)</f>
        <v/>
      </c>
    </row>
    <row r="219" spans="1:8" x14ac:dyDescent="0.25">
      <c r="A219" s="38">
        <v>218</v>
      </c>
      <c r="C219" s="38" t="str">
        <f>IF(A219&lt;='Pump calculator'!$B$14,LATtab!A219,"")</f>
        <v/>
      </c>
      <c r="D219" s="38" t="str">
        <f>IF(C219="","",(10.583*'Pump calculator'!$B$7*(LATtab!G218/1000)^1.85)/('Pump calculator'!$B$12^1.85*('Pump calculator'!$B$11/1000)^4.87))</f>
        <v/>
      </c>
      <c r="E219" s="115" t="str">
        <f t="shared" si="6"/>
        <v/>
      </c>
      <c r="F219" s="38" t="str">
        <f>IF(C219="","",(0.62*(PI()*(('Pump calculator'!$B$6/2)/1000)^2)*SQRT(2*9.81*'Pump calculator'!$B$10))*1000)</f>
        <v/>
      </c>
      <c r="G219" s="38" t="str">
        <f t="shared" si="7"/>
        <v/>
      </c>
      <c r="H219" s="38" t="str">
        <f>IF(C219="","",H218+'Pump calculator'!$B$7)</f>
        <v/>
      </c>
    </row>
    <row r="220" spans="1:8" x14ac:dyDescent="0.25">
      <c r="A220" s="38">
        <v>219</v>
      </c>
      <c r="C220" s="38" t="str">
        <f>IF(A220&lt;='Pump calculator'!$B$14,LATtab!A220,"")</f>
        <v/>
      </c>
      <c r="D220" s="38" t="str">
        <f>IF(C220="","",(10.583*'Pump calculator'!$B$7*(LATtab!G219/1000)^1.85)/('Pump calculator'!$B$12^1.85*('Pump calculator'!$B$11/1000)^4.87))</f>
        <v/>
      </c>
      <c r="E220" s="115" t="str">
        <f t="shared" si="6"/>
        <v/>
      </c>
      <c r="F220" s="38" t="str">
        <f>IF(C220="","",(0.62*(PI()*(('Pump calculator'!$B$6/2)/1000)^2)*SQRT(2*9.81*'Pump calculator'!$B$10))*1000)</f>
        <v/>
      </c>
      <c r="G220" s="38" t="str">
        <f t="shared" si="7"/>
        <v/>
      </c>
      <c r="H220" s="38" t="str">
        <f>IF(C220="","",H219+'Pump calculator'!$B$7)</f>
        <v/>
      </c>
    </row>
    <row r="221" spans="1:8" x14ac:dyDescent="0.25">
      <c r="A221" s="38">
        <v>220</v>
      </c>
      <c r="C221" s="38" t="str">
        <f>IF(A221&lt;='Pump calculator'!$B$14,LATtab!A221,"")</f>
        <v/>
      </c>
      <c r="D221" s="38" t="str">
        <f>IF(C221="","",(10.583*'Pump calculator'!$B$7*(LATtab!G220/1000)^1.85)/('Pump calculator'!$B$12^1.85*('Pump calculator'!$B$11/1000)^4.87))</f>
        <v/>
      </c>
      <c r="E221" s="115" t="str">
        <f t="shared" si="6"/>
        <v/>
      </c>
      <c r="F221" s="38" t="str">
        <f>IF(C221="","",(0.62*(PI()*(('Pump calculator'!$B$6/2)/1000)^2)*SQRT(2*9.81*'Pump calculator'!$B$10))*1000)</f>
        <v/>
      </c>
      <c r="G221" s="38" t="str">
        <f t="shared" si="7"/>
        <v/>
      </c>
      <c r="H221" s="38" t="str">
        <f>IF(C221="","",H220+'Pump calculator'!$B$7)</f>
        <v/>
      </c>
    </row>
    <row r="222" spans="1:8" x14ac:dyDescent="0.25">
      <c r="A222" s="38">
        <v>221</v>
      </c>
      <c r="C222" s="38" t="str">
        <f>IF(A222&lt;='Pump calculator'!$B$14,LATtab!A222,"")</f>
        <v/>
      </c>
      <c r="D222" s="38" t="str">
        <f>IF(C222="","",(10.583*'Pump calculator'!$B$7*(LATtab!G221/1000)^1.85)/('Pump calculator'!$B$12^1.85*('Pump calculator'!$B$11/1000)^4.87))</f>
        <v/>
      </c>
      <c r="E222" s="115" t="str">
        <f t="shared" si="6"/>
        <v/>
      </c>
      <c r="F222" s="38" t="str">
        <f>IF(C222="","",(0.62*(PI()*(('Pump calculator'!$B$6/2)/1000)^2)*SQRT(2*9.81*'Pump calculator'!$B$10))*1000)</f>
        <v/>
      </c>
      <c r="G222" s="38" t="str">
        <f t="shared" si="7"/>
        <v/>
      </c>
      <c r="H222" s="38" t="str">
        <f>IF(C222="","",H221+'Pump calculator'!$B$7)</f>
        <v/>
      </c>
    </row>
    <row r="223" spans="1:8" x14ac:dyDescent="0.25">
      <c r="A223" s="38">
        <v>222</v>
      </c>
      <c r="C223" s="38" t="str">
        <f>IF(A223&lt;='Pump calculator'!$B$14,LATtab!A223,"")</f>
        <v/>
      </c>
      <c r="D223" s="38" t="str">
        <f>IF(C223="","",(10.583*'Pump calculator'!$B$7*(LATtab!G222/1000)^1.85)/('Pump calculator'!$B$12^1.85*('Pump calculator'!$B$11/1000)^4.87))</f>
        <v/>
      </c>
      <c r="E223" s="115" t="str">
        <f t="shared" si="6"/>
        <v/>
      </c>
      <c r="F223" s="38" t="str">
        <f>IF(C223="","",(0.62*(PI()*(('Pump calculator'!$B$6/2)/1000)^2)*SQRT(2*9.81*'Pump calculator'!$B$10))*1000)</f>
        <v/>
      </c>
      <c r="G223" s="38" t="str">
        <f t="shared" si="7"/>
        <v/>
      </c>
      <c r="H223" s="38" t="str">
        <f>IF(C223="","",H222+'Pump calculator'!$B$7)</f>
        <v/>
      </c>
    </row>
    <row r="224" spans="1:8" x14ac:dyDescent="0.25">
      <c r="A224" s="38">
        <v>223</v>
      </c>
      <c r="C224" s="38" t="str">
        <f>IF(A224&lt;='Pump calculator'!$B$14,LATtab!A224,"")</f>
        <v/>
      </c>
      <c r="D224" s="38" t="str">
        <f>IF(C224="","",(10.583*'Pump calculator'!$B$7*(LATtab!G223/1000)^1.85)/('Pump calculator'!$B$12^1.85*('Pump calculator'!$B$11/1000)^4.87))</f>
        <v/>
      </c>
      <c r="E224" s="115" t="str">
        <f t="shared" si="6"/>
        <v/>
      </c>
      <c r="F224" s="38" t="str">
        <f>IF(C224="","",(0.62*(PI()*(('Pump calculator'!$B$6/2)/1000)^2)*SQRT(2*9.81*'Pump calculator'!$B$10))*1000)</f>
        <v/>
      </c>
      <c r="G224" s="38" t="str">
        <f t="shared" si="7"/>
        <v/>
      </c>
      <c r="H224" s="38" t="str">
        <f>IF(C224="","",H223+'Pump calculator'!$B$7)</f>
        <v/>
      </c>
    </row>
    <row r="225" spans="1:8" x14ac:dyDescent="0.25">
      <c r="A225" s="38">
        <v>224</v>
      </c>
      <c r="C225" s="38" t="str">
        <f>IF(A225&lt;='Pump calculator'!$B$14,LATtab!A225,"")</f>
        <v/>
      </c>
      <c r="D225" s="38" t="str">
        <f>IF(C225="","",(10.583*'Pump calculator'!$B$7*(LATtab!G224/1000)^1.85)/('Pump calculator'!$B$12^1.85*('Pump calculator'!$B$11/1000)^4.87))</f>
        <v/>
      </c>
      <c r="E225" s="115" t="str">
        <f t="shared" si="6"/>
        <v/>
      </c>
      <c r="F225" s="38" t="str">
        <f>IF(C225="","",(0.62*(PI()*(('Pump calculator'!$B$6/2)/1000)^2)*SQRT(2*9.81*'Pump calculator'!$B$10))*1000)</f>
        <v/>
      </c>
      <c r="G225" s="38" t="str">
        <f t="shared" si="7"/>
        <v/>
      </c>
      <c r="H225" s="38" t="str">
        <f>IF(C225="","",H224+'Pump calculator'!$B$7)</f>
        <v/>
      </c>
    </row>
    <row r="226" spans="1:8" x14ac:dyDescent="0.25">
      <c r="A226" s="38">
        <v>225</v>
      </c>
      <c r="C226" s="38" t="str">
        <f>IF(A226&lt;='Pump calculator'!$B$14,LATtab!A226,"")</f>
        <v/>
      </c>
      <c r="D226" s="38" t="str">
        <f>IF(C226="","",(10.583*'Pump calculator'!$B$7*(LATtab!G225/1000)^1.85)/('Pump calculator'!$B$12^1.85*('Pump calculator'!$B$11/1000)^4.87))</f>
        <v/>
      </c>
      <c r="E226" s="115" t="str">
        <f t="shared" si="6"/>
        <v/>
      </c>
      <c r="F226" s="38" t="str">
        <f>IF(C226="","",(0.62*(PI()*(('Pump calculator'!$B$6/2)/1000)^2)*SQRT(2*9.81*'Pump calculator'!$B$10))*1000)</f>
        <v/>
      </c>
      <c r="G226" s="38" t="str">
        <f t="shared" si="7"/>
        <v/>
      </c>
      <c r="H226" s="38" t="str">
        <f>IF(C226="","",H225+'Pump calculator'!$B$7)</f>
        <v/>
      </c>
    </row>
    <row r="227" spans="1:8" x14ac:dyDescent="0.25">
      <c r="A227" s="38">
        <v>226</v>
      </c>
      <c r="C227" s="38" t="str">
        <f>IF(A227&lt;='Pump calculator'!$B$14,LATtab!A227,"")</f>
        <v/>
      </c>
      <c r="D227" s="38" t="str">
        <f>IF(C227="","",(10.583*'Pump calculator'!$B$7*(LATtab!G226/1000)^1.85)/('Pump calculator'!$B$12^1.85*('Pump calculator'!$B$11/1000)^4.87))</f>
        <v/>
      </c>
      <c r="E227" s="115" t="str">
        <f t="shared" si="6"/>
        <v/>
      </c>
      <c r="F227" s="38" t="str">
        <f>IF(C227="","",(0.62*(PI()*(('Pump calculator'!$B$6/2)/1000)^2)*SQRT(2*9.81*'Pump calculator'!$B$10))*1000)</f>
        <v/>
      </c>
      <c r="G227" s="38" t="str">
        <f t="shared" si="7"/>
        <v/>
      </c>
      <c r="H227" s="38" t="str">
        <f>IF(C227="","",H226+'Pump calculator'!$B$7)</f>
        <v/>
      </c>
    </row>
    <row r="228" spans="1:8" x14ac:dyDescent="0.25">
      <c r="A228" s="38">
        <v>227</v>
      </c>
      <c r="C228" s="38" t="str">
        <f>IF(A228&lt;='Pump calculator'!$B$14,LATtab!A228,"")</f>
        <v/>
      </c>
      <c r="D228" s="38" t="str">
        <f>IF(C228="","",(10.583*'Pump calculator'!$B$7*(LATtab!G227/1000)^1.85)/('Pump calculator'!$B$12^1.85*('Pump calculator'!$B$11/1000)^4.87))</f>
        <v/>
      </c>
      <c r="E228" s="115" t="str">
        <f t="shared" si="6"/>
        <v/>
      </c>
      <c r="F228" s="38" t="str">
        <f>IF(C228="","",(0.62*(PI()*(('Pump calculator'!$B$6/2)/1000)^2)*SQRT(2*9.81*'Pump calculator'!$B$10))*1000)</f>
        <v/>
      </c>
      <c r="G228" s="38" t="str">
        <f t="shared" si="7"/>
        <v/>
      </c>
      <c r="H228" s="38" t="str">
        <f>IF(C228="","",H227+'Pump calculator'!$B$7)</f>
        <v/>
      </c>
    </row>
    <row r="229" spans="1:8" x14ac:dyDescent="0.25">
      <c r="A229" s="38">
        <v>228</v>
      </c>
      <c r="C229" s="38" t="str">
        <f>IF(A229&lt;='Pump calculator'!$B$14,LATtab!A229,"")</f>
        <v/>
      </c>
      <c r="D229" s="38" t="str">
        <f>IF(C229="","",(10.583*'Pump calculator'!$B$7*(LATtab!G228/1000)^1.85)/('Pump calculator'!$B$12^1.85*('Pump calculator'!$B$11/1000)^4.87))</f>
        <v/>
      </c>
      <c r="E229" s="115" t="str">
        <f t="shared" si="6"/>
        <v/>
      </c>
      <c r="F229" s="38" t="str">
        <f>IF(C229="","",(0.62*(PI()*(('Pump calculator'!$B$6/2)/1000)^2)*SQRT(2*9.81*'Pump calculator'!$B$10))*1000)</f>
        <v/>
      </c>
      <c r="G229" s="38" t="str">
        <f t="shared" si="7"/>
        <v/>
      </c>
      <c r="H229" s="38" t="str">
        <f>IF(C229="","",H228+'Pump calculator'!$B$7)</f>
        <v/>
      </c>
    </row>
    <row r="230" spans="1:8" x14ac:dyDescent="0.25">
      <c r="A230" s="38">
        <v>229</v>
      </c>
      <c r="C230" s="38" t="str">
        <f>IF(A230&lt;='Pump calculator'!$B$14,LATtab!A230,"")</f>
        <v/>
      </c>
      <c r="D230" s="38" t="str">
        <f>IF(C230="","",(10.583*'Pump calculator'!$B$7*(LATtab!G229/1000)^1.85)/('Pump calculator'!$B$12^1.85*('Pump calculator'!$B$11/1000)^4.87))</f>
        <v/>
      </c>
      <c r="E230" s="115" t="str">
        <f t="shared" si="6"/>
        <v/>
      </c>
      <c r="F230" s="38" t="str">
        <f>IF(C230="","",(0.62*(PI()*(('Pump calculator'!$B$6/2)/1000)^2)*SQRT(2*9.81*'Pump calculator'!$B$10))*1000)</f>
        <v/>
      </c>
      <c r="G230" s="38" t="str">
        <f t="shared" si="7"/>
        <v/>
      </c>
      <c r="H230" s="38" t="str">
        <f>IF(C230="","",H229+'Pump calculator'!$B$7)</f>
        <v/>
      </c>
    </row>
    <row r="231" spans="1:8" x14ac:dyDescent="0.25">
      <c r="A231" s="38">
        <v>230</v>
      </c>
      <c r="C231" s="38" t="str">
        <f>IF(A231&lt;='Pump calculator'!$B$14,LATtab!A231,"")</f>
        <v/>
      </c>
      <c r="D231" s="38" t="str">
        <f>IF(C231="","",(10.583*'Pump calculator'!$B$7*(LATtab!G230/1000)^1.85)/('Pump calculator'!$B$12^1.85*('Pump calculator'!$B$11/1000)^4.87))</f>
        <v/>
      </c>
      <c r="E231" s="115" t="str">
        <f t="shared" si="6"/>
        <v/>
      </c>
      <c r="F231" s="38" t="str">
        <f>IF(C231="","",(0.62*(PI()*(('Pump calculator'!$B$6/2)/1000)^2)*SQRT(2*9.81*'Pump calculator'!$B$10))*1000)</f>
        <v/>
      </c>
      <c r="G231" s="38" t="str">
        <f t="shared" si="7"/>
        <v/>
      </c>
      <c r="H231" s="38" t="str">
        <f>IF(C231="","",H230+'Pump calculator'!$B$7)</f>
        <v/>
      </c>
    </row>
    <row r="232" spans="1:8" x14ac:dyDescent="0.25">
      <c r="A232" s="38">
        <v>231</v>
      </c>
      <c r="C232" s="38" t="str">
        <f>IF(A232&lt;='Pump calculator'!$B$14,LATtab!A232,"")</f>
        <v/>
      </c>
      <c r="D232" s="38" t="str">
        <f>IF(C232="","",(10.583*'Pump calculator'!$B$7*(LATtab!G231/1000)^1.85)/('Pump calculator'!$B$12^1.85*('Pump calculator'!$B$11/1000)^4.87))</f>
        <v/>
      </c>
      <c r="E232" s="115" t="str">
        <f t="shared" si="6"/>
        <v/>
      </c>
      <c r="F232" s="38" t="str">
        <f>IF(C232="","",(0.62*(PI()*(('Pump calculator'!$B$6/2)/1000)^2)*SQRT(2*9.81*'Pump calculator'!$B$10))*1000)</f>
        <v/>
      </c>
      <c r="G232" s="38" t="str">
        <f t="shared" si="7"/>
        <v/>
      </c>
      <c r="H232" s="38" t="str">
        <f>IF(C232="","",H231+'Pump calculator'!$B$7)</f>
        <v/>
      </c>
    </row>
    <row r="233" spans="1:8" x14ac:dyDescent="0.25">
      <c r="A233" s="38">
        <v>232</v>
      </c>
      <c r="C233" s="38" t="str">
        <f>IF(A233&lt;='Pump calculator'!$B$14,LATtab!A233,"")</f>
        <v/>
      </c>
      <c r="D233" s="38" t="str">
        <f>IF(C233="","",(10.583*'Pump calculator'!$B$7*(LATtab!G232/1000)^1.85)/('Pump calculator'!$B$12^1.85*('Pump calculator'!$B$11/1000)^4.87))</f>
        <v/>
      </c>
      <c r="E233" s="115" t="str">
        <f t="shared" si="6"/>
        <v/>
      </c>
      <c r="F233" s="38" t="str">
        <f>IF(C233="","",(0.62*(PI()*(('Pump calculator'!$B$6/2)/1000)^2)*SQRT(2*9.81*'Pump calculator'!$B$10))*1000)</f>
        <v/>
      </c>
      <c r="G233" s="38" t="str">
        <f t="shared" si="7"/>
        <v/>
      </c>
      <c r="H233" s="38" t="str">
        <f>IF(C233="","",H232+'Pump calculator'!$B$7)</f>
        <v/>
      </c>
    </row>
    <row r="234" spans="1:8" x14ac:dyDescent="0.25">
      <c r="A234" s="38">
        <v>233</v>
      </c>
      <c r="C234" s="38" t="str">
        <f>IF(A234&lt;='Pump calculator'!$B$14,LATtab!A234,"")</f>
        <v/>
      </c>
      <c r="D234" s="38" t="str">
        <f>IF(C234="","",(10.583*'Pump calculator'!$B$7*(LATtab!G233/1000)^1.85)/('Pump calculator'!$B$12^1.85*('Pump calculator'!$B$11/1000)^4.87))</f>
        <v/>
      </c>
      <c r="E234" s="115" t="str">
        <f t="shared" si="6"/>
        <v/>
      </c>
      <c r="F234" s="38" t="str">
        <f>IF(C234="","",(0.62*(PI()*(('Pump calculator'!$B$6/2)/1000)^2)*SQRT(2*9.81*'Pump calculator'!$B$10))*1000)</f>
        <v/>
      </c>
      <c r="G234" s="38" t="str">
        <f t="shared" si="7"/>
        <v/>
      </c>
      <c r="H234" s="38" t="str">
        <f>IF(C234="","",H233+'Pump calculator'!$B$7)</f>
        <v/>
      </c>
    </row>
    <row r="235" spans="1:8" x14ac:dyDescent="0.25">
      <c r="A235" s="38">
        <v>234</v>
      </c>
      <c r="C235" s="38" t="str">
        <f>IF(A235&lt;='Pump calculator'!$B$14,LATtab!A235,"")</f>
        <v/>
      </c>
      <c r="D235" s="38" t="str">
        <f>IF(C235="","",(10.583*'Pump calculator'!$B$7*(LATtab!G234/1000)^1.85)/('Pump calculator'!$B$12^1.85*('Pump calculator'!$B$11/1000)^4.87))</f>
        <v/>
      </c>
      <c r="E235" s="115" t="str">
        <f t="shared" si="6"/>
        <v/>
      </c>
      <c r="F235" s="38" t="str">
        <f>IF(C235="","",(0.62*(PI()*(('Pump calculator'!$B$6/2)/1000)^2)*SQRT(2*9.81*'Pump calculator'!$B$10))*1000)</f>
        <v/>
      </c>
      <c r="G235" s="38" t="str">
        <f t="shared" si="7"/>
        <v/>
      </c>
      <c r="H235" s="38" t="str">
        <f>IF(C235="","",H234+'Pump calculator'!$B$7)</f>
        <v/>
      </c>
    </row>
    <row r="236" spans="1:8" x14ac:dyDescent="0.25">
      <c r="A236" s="38">
        <v>235</v>
      </c>
      <c r="C236" s="38" t="str">
        <f>IF(A236&lt;='Pump calculator'!$B$14,LATtab!A236,"")</f>
        <v/>
      </c>
      <c r="D236" s="38" t="str">
        <f>IF(C236="","",(10.583*'Pump calculator'!$B$7*(LATtab!G235/1000)^1.85)/('Pump calculator'!$B$12^1.85*('Pump calculator'!$B$11/1000)^4.87))</f>
        <v/>
      </c>
      <c r="E236" s="115" t="str">
        <f t="shared" si="6"/>
        <v/>
      </c>
      <c r="F236" s="38" t="str">
        <f>IF(C236="","",(0.62*(PI()*(('Pump calculator'!$B$6/2)/1000)^2)*SQRT(2*9.81*'Pump calculator'!$B$10))*1000)</f>
        <v/>
      </c>
      <c r="G236" s="38" t="str">
        <f t="shared" si="7"/>
        <v/>
      </c>
      <c r="H236" s="38" t="str">
        <f>IF(C236="","",H235+'Pump calculator'!$B$7)</f>
        <v/>
      </c>
    </row>
    <row r="237" spans="1:8" x14ac:dyDescent="0.25">
      <c r="A237" s="38">
        <v>236</v>
      </c>
      <c r="C237" s="38" t="str">
        <f>IF(A237&lt;='Pump calculator'!$B$14,LATtab!A237,"")</f>
        <v/>
      </c>
      <c r="D237" s="38" t="str">
        <f>IF(C237="","",(10.583*'Pump calculator'!$B$7*(LATtab!G236/1000)^1.85)/('Pump calculator'!$B$12^1.85*('Pump calculator'!$B$11/1000)^4.87))</f>
        <v/>
      </c>
      <c r="E237" s="115" t="str">
        <f t="shared" si="6"/>
        <v/>
      </c>
      <c r="F237" s="38" t="str">
        <f>IF(C237="","",(0.62*(PI()*(('Pump calculator'!$B$6/2)/1000)^2)*SQRT(2*9.81*'Pump calculator'!$B$10))*1000)</f>
        <v/>
      </c>
      <c r="G237" s="38" t="str">
        <f t="shared" si="7"/>
        <v/>
      </c>
      <c r="H237" s="38" t="str">
        <f>IF(C237="","",H236+'Pump calculator'!$B$7)</f>
        <v/>
      </c>
    </row>
    <row r="238" spans="1:8" x14ac:dyDescent="0.25">
      <c r="A238" s="38">
        <v>237</v>
      </c>
      <c r="C238" s="38" t="str">
        <f>IF(A238&lt;='Pump calculator'!$B$14,LATtab!A238,"")</f>
        <v/>
      </c>
      <c r="D238" s="38" t="str">
        <f>IF(C238="","",(10.583*'Pump calculator'!$B$7*(LATtab!G237/1000)^1.85)/('Pump calculator'!$B$12^1.85*('Pump calculator'!$B$11/1000)^4.87))</f>
        <v/>
      </c>
      <c r="E238" s="115" t="str">
        <f t="shared" si="6"/>
        <v/>
      </c>
      <c r="F238" s="38" t="str">
        <f>IF(C238="","",(0.62*(PI()*(('Pump calculator'!$B$6/2)/1000)^2)*SQRT(2*9.81*'Pump calculator'!$B$10))*1000)</f>
        <v/>
      </c>
      <c r="G238" s="38" t="str">
        <f t="shared" si="7"/>
        <v/>
      </c>
      <c r="H238" s="38" t="str">
        <f>IF(C238="","",H237+'Pump calculator'!$B$7)</f>
        <v/>
      </c>
    </row>
    <row r="239" spans="1:8" x14ac:dyDescent="0.25">
      <c r="A239" s="38">
        <v>238</v>
      </c>
      <c r="C239" s="38" t="str">
        <f>IF(A239&lt;='Pump calculator'!$B$14,LATtab!A239,"")</f>
        <v/>
      </c>
      <c r="D239" s="38" t="str">
        <f>IF(C239="","",(10.583*'Pump calculator'!$B$7*(LATtab!G238/1000)^1.85)/('Pump calculator'!$B$12^1.85*('Pump calculator'!$B$11/1000)^4.87))</f>
        <v/>
      </c>
      <c r="E239" s="115" t="str">
        <f t="shared" si="6"/>
        <v/>
      </c>
      <c r="F239" s="38" t="str">
        <f>IF(C239="","",(0.62*(PI()*(('Pump calculator'!$B$6/2)/1000)^2)*SQRT(2*9.81*'Pump calculator'!$B$10))*1000)</f>
        <v/>
      </c>
      <c r="G239" s="38" t="str">
        <f t="shared" si="7"/>
        <v/>
      </c>
      <c r="H239" s="38" t="str">
        <f>IF(C239="","",H238+'Pump calculator'!$B$7)</f>
        <v/>
      </c>
    </row>
    <row r="240" spans="1:8" x14ac:dyDescent="0.25">
      <c r="A240" s="38">
        <v>239</v>
      </c>
      <c r="C240" s="38" t="str">
        <f>IF(A240&lt;='Pump calculator'!$B$14,LATtab!A240,"")</f>
        <v/>
      </c>
      <c r="D240" s="38" t="str">
        <f>IF(C240="","",(10.583*'Pump calculator'!$B$7*(LATtab!G239/1000)^1.85)/('Pump calculator'!$B$12^1.85*('Pump calculator'!$B$11/1000)^4.87))</f>
        <v/>
      </c>
      <c r="E240" s="115" t="str">
        <f t="shared" si="6"/>
        <v/>
      </c>
      <c r="F240" s="38" t="str">
        <f>IF(C240="","",(0.62*(PI()*(('Pump calculator'!$B$6/2)/1000)^2)*SQRT(2*9.81*'Pump calculator'!$B$10))*1000)</f>
        <v/>
      </c>
      <c r="G240" s="38" t="str">
        <f t="shared" si="7"/>
        <v/>
      </c>
      <c r="H240" s="38" t="str">
        <f>IF(C240="","",H239+'Pump calculator'!$B$7)</f>
        <v/>
      </c>
    </row>
    <row r="241" spans="1:8" x14ac:dyDescent="0.25">
      <c r="A241" s="38">
        <v>240</v>
      </c>
      <c r="C241" s="38" t="str">
        <f>IF(A241&lt;='Pump calculator'!$B$14,LATtab!A241,"")</f>
        <v/>
      </c>
      <c r="D241" s="38" t="str">
        <f>IF(C241="","",(10.583*'Pump calculator'!$B$7*(LATtab!G240/1000)^1.85)/('Pump calculator'!$B$12^1.85*('Pump calculator'!$B$11/1000)^4.87))</f>
        <v/>
      </c>
      <c r="E241" s="115" t="str">
        <f t="shared" si="6"/>
        <v/>
      </c>
      <c r="F241" s="38" t="str">
        <f>IF(C241="","",(0.62*(PI()*(('Pump calculator'!$B$6/2)/1000)^2)*SQRT(2*9.81*'Pump calculator'!$B$10))*1000)</f>
        <v/>
      </c>
      <c r="G241" s="38" t="str">
        <f t="shared" si="7"/>
        <v/>
      </c>
      <c r="H241" s="38" t="str">
        <f>IF(C241="","",H240+'Pump calculator'!$B$7)</f>
        <v/>
      </c>
    </row>
    <row r="242" spans="1:8" x14ac:dyDescent="0.25">
      <c r="A242" s="38">
        <v>241</v>
      </c>
      <c r="C242" s="38" t="str">
        <f>IF(A242&lt;='Pump calculator'!$B$14,LATtab!A242,"")</f>
        <v/>
      </c>
      <c r="D242" s="38" t="str">
        <f>IF(C242="","",(10.583*'Pump calculator'!$B$7*(LATtab!G241/1000)^1.85)/('Pump calculator'!$B$12^1.85*('Pump calculator'!$B$11/1000)^4.87))</f>
        <v/>
      </c>
      <c r="E242" s="115" t="str">
        <f t="shared" si="6"/>
        <v/>
      </c>
      <c r="F242" s="38" t="str">
        <f>IF(C242="","",(0.62*(PI()*(('Pump calculator'!$B$6/2)/1000)^2)*SQRT(2*9.81*'Pump calculator'!$B$10))*1000)</f>
        <v/>
      </c>
      <c r="G242" s="38" t="str">
        <f t="shared" si="7"/>
        <v/>
      </c>
      <c r="H242" s="38" t="str">
        <f>IF(C242="","",H241+'Pump calculator'!$B$7)</f>
        <v/>
      </c>
    </row>
    <row r="243" spans="1:8" x14ac:dyDescent="0.25">
      <c r="A243" s="38">
        <v>242</v>
      </c>
      <c r="C243" s="38" t="str">
        <f>IF(A243&lt;='Pump calculator'!$B$14,LATtab!A243,"")</f>
        <v/>
      </c>
      <c r="D243" s="38" t="str">
        <f>IF(C243="","",(10.583*'Pump calculator'!$B$7*(LATtab!G242/1000)^1.85)/('Pump calculator'!$B$12^1.85*('Pump calculator'!$B$11/1000)^4.87))</f>
        <v/>
      </c>
      <c r="E243" s="115" t="str">
        <f t="shared" si="6"/>
        <v/>
      </c>
      <c r="F243" s="38" t="str">
        <f>IF(C243="","",(0.62*(PI()*(('Pump calculator'!$B$6/2)/1000)^2)*SQRT(2*9.81*'Pump calculator'!$B$10))*1000)</f>
        <v/>
      </c>
      <c r="G243" s="38" t="str">
        <f t="shared" si="7"/>
        <v/>
      </c>
      <c r="H243" s="38" t="str">
        <f>IF(C243="","",H242+'Pump calculator'!$B$7)</f>
        <v/>
      </c>
    </row>
    <row r="244" spans="1:8" x14ac:dyDescent="0.25">
      <c r="A244" s="38">
        <v>243</v>
      </c>
      <c r="C244" s="38" t="str">
        <f>IF(A244&lt;='Pump calculator'!$B$14,LATtab!A244,"")</f>
        <v/>
      </c>
      <c r="D244" s="38" t="str">
        <f>IF(C244="","",(10.583*'Pump calculator'!$B$7*(LATtab!G243/1000)^1.85)/('Pump calculator'!$B$12^1.85*('Pump calculator'!$B$11/1000)^4.87))</f>
        <v/>
      </c>
      <c r="E244" s="115" t="str">
        <f t="shared" si="6"/>
        <v/>
      </c>
      <c r="F244" s="38" t="str">
        <f>IF(C244="","",(0.62*(PI()*(('Pump calculator'!$B$6/2)/1000)^2)*SQRT(2*9.81*'Pump calculator'!$B$10))*1000)</f>
        <v/>
      </c>
      <c r="G244" s="38" t="str">
        <f t="shared" si="7"/>
        <v/>
      </c>
      <c r="H244" s="38" t="str">
        <f>IF(C244="","",H243+'Pump calculator'!$B$7)</f>
        <v/>
      </c>
    </row>
    <row r="245" spans="1:8" x14ac:dyDescent="0.25">
      <c r="A245" s="38">
        <v>244</v>
      </c>
      <c r="C245" s="38" t="str">
        <f>IF(A245&lt;='Pump calculator'!$B$14,LATtab!A245,"")</f>
        <v/>
      </c>
      <c r="D245" s="38" t="str">
        <f>IF(C245="","",(10.583*'Pump calculator'!$B$7*(LATtab!G244/1000)^1.85)/('Pump calculator'!$B$12^1.85*('Pump calculator'!$B$11/1000)^4.87))</f>
        <v/>
      </c>
      <c r="E245" s="115" t="str">
        <f t="shared" si="6"/>
        <v/>
      </c>
      <c r="F245" s="38" t="str">
        <f>IF(C245="","",(0.62*(PI()*(('Pump calculator'!$B$6/2)/1000)^2)*SQRT(2*9.81*'Pump calculator'!$B$10))*1000)</f>
        <v/>
      </c>
      <c r="G245" s="38" t="str">
        <f t="shared" si="7"/>
        <v/>
      </c>
      <c r="H245" s="38" t="str">
        <f>IF(C245="","",H244+'Pump calculator'!$B$7)</f>
        <v/>
      </c>
    </row>
    <row r="246" spans="1:8" x14ac:dyDescent="0.25">
      <c r="A246" s="38">
        <v>245</v>
      </c>
      <c r="C246" s="38" t="str">
        <f>IF(A246&lt;='Pump calculator'!$B$14,LATtab!A246,"")</f>
        <v/>
      </c>
      <c r="D246" s="38" t="str">
        <f>IF(C246="","",(10.583*'Pump calculator'!$B$7*(LATtab!G245/1000)^1.85)/('Pump calculator'!$B$12^1.85*('Pump calculator'!$B$11/1000)^4.87))</f>
        <v/>
      </c>
      <c r="E246" s="115" t="str">
        <f t="shared" si="6"/>
        <v/>
      </c>
      <c r="F246" s="38" t="str">
        <f>IF(C246="","",(0.62*(PI()*(('Pump calculator'!$B$6/2)/1000)^2)*SQRT(2*9.81*'Pump calculator'!$B$10))*1000)</f>
        <v/>
      </c>
      <c r="G246" s="38" t="str">
        <f t="shared" si="7"/>
        <v/>
      </c>
      <c r="H246" s="38" t="str">
        <f>IF(C246="","",H245+'Pump calculator'!$B$7)</f>
        <v/>
      </c>
    </row>
    <row r="247" spans="1:8" x14ac:dyDescent="0.25">
      <c r="A247" s="38">
        <v>246</v>
      </c>
      <c r="C247" s="38" t="str">
        <f>IF(A247&lt;='Pump calculator'!$B$14,LATtab!A247,"")</f>
        <v/>
      </c>
      <c r="D247" s="38" t="str">
        <f>IF(C247="","",(10.583*'Pump calculator'!$B$7*(LATtab!G246/1000)^1.85)/('Pump calculator'!$B$12^1.85*('Pump calculator'!$B$11/1000)^4.87))</f>
        <v/>
      </c>
      <c r="E247" s="115" t="str">
        <f t="shared" si="6"/>
        <v/>
      </c>
      <c r="F247" s="38" t="str">
        <f>IF(C247="","",(0.62*(PI()*(('Pump calculator'!$B$6/2)/1000)^2)*SQRT(2*9.81*'Pump calculator'!$B$10))*1000)</f>
        <v/>
      </c>
      <c r="G247" s="38" t="str">
        <f t="shared" si="7"/>
        <v/>
      </c>
      <c r="H247" s="38" t="str">
        <f>IF(C247="","",H246+'Pump calculator'!$B$7)</f>
        <v/>
      </c>
    </row>
    <row r="248" spans="1:8" x14ac:dyDescent="0.25">
      <c r="A248" s="38">
        <v>247</v>
      </c>
      <c r="C248" s="38" t="str">
        <f>IF(A248&lt;='Pump calculator'!$B$14,LATtab!A248,"")</f>
        <v/>
      </c>
      <c r="D248" s="38" t="str">
        <f>IF(C248="","",(10.583*'Pump calculator'!$B$7*(LATtab!G247/1000)^1.85)/('Pump calculator'!$B$12^1.85*('Pump calculator'!$B$11/1000)^4.87))</f>
        <v/>
      </c>
      <c r="E248" s="115" t="str">
        <f t="shared" si="6"/>
        <v/>
      </c>
      <c r="F248" s="38" t="str">
        <f>IF(C248="","",(0.62*(PI()*(('Pump calculator'!$B$6/2)/1000)^2)*SQRT(2*9.81*'Pump calculator'!$B$10))*1000)</f>
        <v/>
      </c>
      <c r="G248" s="38" t="str">
        <f t="shared" si="7"/>
        <v/>
      </c>
      <c r="H248" s="38" t="str">
        <f>IF(C248="","",H247+'Pump calculator'!$B$7)</f>
        <v/>
      </c>
    </row>
    <row r="249" spans="1:8" x14ac:dyDescent="0.25">
      <c r="A249" s="38">
        <v>248</v>
      </c>
      <c r="C249" s="38" t="str">
        <f>IF(A249&lt;='Pump calculator'!$B$14,LATtab!A249,"")</f>
        <v/>
      </c>
      <c r="D249" s="38" t="str">
        <f>IF(C249="","",(10.583*'Pump calculator'!$B$7*(LATtab!G248/1000)^1.85)/('Pump calculator'!$B$12^1.85*('Pump calculator'!$B$11/1000)^4.87))</f>
        <v/>
      </c>
      <c r="E249" s="115" t="str">
        <f t="shared" si="6"/>
        <v/>
      </c>
      <c r="F249" s="38" t="str">
        <f>IF(C249="","",(0.62*(PI()*(('Pump calculator'!$B$6/2)/1000)^2)*SQRT(2*9.81*'Pump calculator'!$B$10))*1000)</f>
        <v/>
      </c>
      <c r="G249" s="38" t="str">
        <f t="shared" si="7"/>
        <v/>
      </c>
      <c r="H249" s="38" t="str">
        <f>IF(C249="","",H248+'Pump calculator'!$B$7)</f>
        <v/>
      </c>
    </row>
    <row r="250" spans="1:8" x14ac:dyDescent="0.25">
      <c r="A250" s="38">
        <v>249</v>
      </c>
      <c r="C250" s="38" t="str">
        <f>IF(A250&lt;='Pump calculator'!$B$14,LATtab!A250,"")</f>
        <v/>
      </c>
      <c r="D250" s="38" t="str">
        <f>IF(C250="","",(10.583*'Pump calculator'!$B$7*(LATtab!G249/1000)^1.85)/('Pump calculator'!$B$12^1.85*('Pump calculator'!$B$11/1000)^4.87))</f>
        <v/>
      </c>
      <c r="E250" s="115" t="str">
        <f t="shared" si="6"/>
        <v/>
      </c>
      <c r="F250" s="38" t="str">
        <f>IF(C250="","",(0.62*(PI()*(('Pump calculator'!$B$6/2)/1000)^2)*SQRT(2*9.81*'Pump calculator'!$B$10))*1000)</f>
        <v/>
      </c>
      <c r="G250" s="38" t="str">
        <f t="shared" si="7"/>
        <v/>
      </c>
      <c r="H250" s="38" t="str">
        <f>IF(C250="","",H249+'Pump calculator'!$B$7)</f>
        <v/>
      </c>
    </row>
    <row r="252" spans="1:8" x14ac:dyDescent="0.25">
      <c r="G252" s="38">
        <f>MAX(G2:G250)</f>
        <v>0</v>
      </c>
    </row>
    <row r="265" spans="1:5" x14ac:dyDescent="0.25">
      <c r="A265" s="38" t="s">
        <v>307</v>
      </c>
      <c r="E265" s="115">
        <f>MAX(E2:E250)</f>
        <v>0</v>
      </c>
    </row>
    <row r="269" spans="1:5" x14ac:dyDescent="0.25">
      <c r="C269" s="10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119EF-4A21-4B03-A26C-5CFE5CD7BF63}">
  <dimension ref="A1:Z137"/>
  <sheetViews>
    <sheetView zoomScale="85" zoomScaleNormal="85" workbookViewId="0">
      <selection activeCell="B15" sqref="B15"/>
    </sheetView>
  </sheetViews>
  <sheetFormatPr defaultColWidth="11.44140625" defaultRowHeight="14.4" x14ac:dyDescent="0.3"/>
  <cols>
    <col min="1" max="1" width="18.33203125" style="96" customWidth="1"/>
    <col min="2" max="2" width="18.44140625" style="96" customWidth="1"/>
    <col min="3" max="3" width="11.44140625" style="96" customWidth="1"/>
    <col min="4" max="4" width="12.109375" style="96" bestFit="1" customWidth="1"/>
    <col min="5" max="6" width="11.44140625" style="96"/>
    <col min="7" max="7" width="12.109375" style="96" bestFit="1" customWidth="1"/>
    <col min="8" max="10" width="11.44140625" style="96"/>
    <col min="11" max="11" width="12.109375" style="96" bestFit="1" customWidth="1"/>
    <col min="12" max="16384" width="11.44140625" style="96"/>
  </cols>
  <sheetData>
    <row r="1" spans="1:23" x14ac:dyDescent="0.3">
      <c r="A1" s="96" t="s">
        <v>308</v>
      </c>
      <c r="B1" s="103" t="e">
        <f>'Pump calculator'!B29</f>
        <v>#DIV/0!</v>
      </c>
      <c r="C1" s="96" t="s">
        <v>247</v>
      </c>
    </row>
    <row r="2" spans="1:23" x14ac:dyDescent="0.3">
      <c r="M2" s="172"/>
      <c r="V2" s="172"/>
    </row>
    <row r="3" spans="1:23" x14ac:dyDescent="0.3">
      <c r="A3" s="305" t="s">
        <v>198</v>
      </c>
      <c r="B3" s="306"/>
      <c r="D3" s="305" t="s">
        <v>201</v>
      </c>
      <c r="E3" s="306"/>
      <c r="G3" s="305" t="s">
        <v>204</v>
      </c>
      <c r="H3" s="306"/>
      <c r="J3" s="311" t="s">
        <v>206</v>
      </c>
      <c r="K3" s="311"/>
      <c r="M3" s="311" t="s">
        <v>209</v>
      </c>
      <c r="N3" s="311"/>
      <c r="P3" s="311" t="s">
        <v>212</v>
      </c>
      <c r="Q3" s="311"/>
      <c r="S3" s="311" t="s">
        <v>215</v>
      </c>
      <c r="T3" s="311"/>
      <c r="V3" s="311" t="s">
        <v>218</v>
      </c>
      <c r="W3" s="311"/>
    </row>
    <row r="4" spans="1:23" x14ac:dyDescent="0.3">
      <c r="A4" s="157" t="s">
        <v>247</v>
      </c>
      <c r="B4" s="157" t="s">
        <v>245</v>
      </c>
      <c r="D4" s="157" t="s">
        <v>247</v>
      </c>
      <c r="E4" s="157" t="s">
        <v>245</v>
      </c>
      <c r="G4" s="157" t="s">
        <v>247</v>
      </c>
      <c r="H4" s="157" t="s">
        <v>245</v>
      </c>
      <c r="J4" s="167" t="s">
        <v>309</v>
      </c>
      <c r="K4" s="167" t="s">
        <v>310</v>
      </c>
      <c r="M4" s="167" t="s">
        <v>309</v>
      </c>
      <c r="N4" s="167" t="s">
        <v>310</v>
      </c>
      <c r="P4" s="167" t="s">
        <v>309</v>
      </c>
      <c r="Q4" s="167" t="s">
        <v>310</v>
      </c>
      <c r="S4" s="167" t="s">
        <v>309</v>
      </c>
      <c r="T4" s="167" t="s">
        <v>310</v>
      </c>
      <c r="V4" s="167" t="s">
        <v>309</v>
      </c>
      <c r="W4" s="167" t="s">
        <v>310</v>
      </c>
    </row>
    <row r="5" spans="1:23" x14ac:dyDescent="0.3">
      <c r="A5" s="157">
        <v>50</v>
      </c>
      <c r="B5" s="157">
        <v>5</v>
      </c>
      <c r="D5" s="157">
        <v>69</v>
      </c>
      <c r="E5" s="157">
        <v>5</v>
      </c>
      <c r="G5" s="157">
        <v>77</v>
      </c>
      <c r="H5" s="157">
        <v>5</v>
      </c>
      <c r="J5" s="167">
        <v>85</v>
      </c>
      <c r="K5" s="167">
        <v>30</v>
      </c>
      <c r="M5" s="167">
        <v>58</v>
      </c>
      <c r="N5" s="167">
        <v>5</v>
      </c>
      <c r="P5" s="167">
        <v>145</v>
      </c>
      <c r="Q5" s="167">
        <v>5</v>
      </c>
      <c r="S5" s="167">
        <v>145</v>
      </c>
      <c r="T5" s="167">
        <v>5</v>
      </c>
      <c r="V5" s="167">
        <v>45</v>
      </c>
      <c r="W5" s="167">
        <v>5</v>
      </c>
    </row>
    <row r="6" spans="1:23" x14ac:dyDescent="0.3">
      <c r="A6" s="157">
        <v>45</v>
      </c>
      <c r="B6" s="157">
        <v>10</v>
      </c>
      <c r="D6" s="157">
        <v>61</v>
      </c>
      <c r="E6" s="157">
        <v>10</v>
      </c>
      <c r="G6" s="157">
        <v>70</v>
      </c>
      <c r="H6" s="157">
        <v>10</v>
      </c>
      <c r="J6" s="167">
        <v>70</v>
      </c>
      <c r="K6" s="167">
        <v>40</v>
      </c>
      <c r="M6" s="167">
        <v>58</v>
      </c>
      <c r="N6" s="167">
        <v>10</v>
      </c>
      <c r="P6" s="167">
        <v>140</v>
      </c>
      <c r="Q6" s="167">
        <v>10</v>
      </c>
      <c r="S6" s="167">
        <v>140</v>
      </c>
      <c r="T6" s="167">
        <v>10</v>
      </c>
      <c r="V6" s="167">
        <v>45</v>
      </c>
      <c r="W6" s="167">
        <v>10</v>
      </c>
    </row>
    <row r="7" spans="1:23" x14ac:dyDescent="0.3">
      <c r="A7" s="157">
        <v>38</v>
      </c>
      <c r="B7" s="157">
        <v>15</v>
      </c>
      <c r="D7" s="157">
        <v>53</v>
      </c>
      <c r="E7" s="157">
        <v>15</v>
      </c>
      <c r="G7" s="157">
        <v>61</v>
      </c>
      <c r="H7" s="157">
        <v>15</v>
      </c>
      <c r="J7" s="167">
        <v>51</v>
      </c>
      <c r="K7" s="167">
        <v>50</v>
      </c>
      <c r="M7" s="167">
        <v>58</v>
      </c>
      <c r="N7" s="167">
        <v>20</v>
      </c>
      <c r="P7" s="167">
        <v>128</v>
      </c>
      <c r="Q7" s="167">
        <v>20</v>
      </c>
      <c r="S7" s="167">
        <v>130.5</v>
      </c>
      <c r="T7" s="167">
        <v>20</v>
      </c>
      <c r="V7" s="167">
        <v>45</v>
      </c>
      <c r="W7" s="167">
        <v>20</v>
      </c>
    </row>
    <row r="8" spans="1:23" x14ac:dyDescent="0.3">
      <c r="A8" s="157">
        <v>29</v>
      </c>
      <c r="B8" s="157">
        <v>20</v>
      </c>
      <c r="D8" s="157">
        <v>44</v>
      </c>
      <c r="E8" s="157">
        <v>20</v>
      </c>
      <c r="G8" s="157">
        <v>52</v>
      </c>
      <c r="H8" s="157">
        <v>20</v>
      </c>
      <c r="J8" s="167">
        <v>32</v>
      </c>
      <c r="K8" s="167">
        <v>60</v>
      </c>
      <c r="M8" s="167">
        <v>58</v>
      </c>
      <c r="N8" s="167">
        <v>30</v>
      </c>
      <c r="P8" s="167">
        <v>116</v>
      </c>
      <c r="Q8" s="167">
        <v>30</v>
      </c>
      <c r="S8" s="167">
        <v>120</v>
      </c>
      <c r="T8" s="167">
        <v>30</v>
      </c>
      <c r="V8" s="167">
        <v>45</v>
      </c>
      <c r="W8" s="167">
        <v>30</v>
      </c>
    </row>
    <row r="9" spans="1:23" x14ac:dyDescent="0.3">
      <c r="A9" s="157">
        <v>16</v>
      </c>
      <c r="B9" s="157">
        <v>25</v>
      </c>
      <c r="D9" s="157">
        <v>34</v>
      </c>
      <c r="E9" s="157">
        <v>25</v>
      </c>
      <c r="G9" s="157">
        <v>42</v>
      </c>
      <c r="H9" s="157">
        <v>25</v>
      </c>
      <c r="J9" s="167">
        <v>9</v>
      </c>
      <c r="K9" s="167">
        <v>70</v>
      </c>
      <c r="M9" s="167">
        <v>58</v>
      </c>
      <c r="N9" s="167">
        <v>40</v>
      </c>
      <c r="P9" s="167">
        <v>103.5</v>
      </c>
      <c r="Q9" s="167">
        <v>40</v>
      </c>
      <c r="S9" s="167">
        <v>109</v>
      </c>
      <c r="T9" s="167">
        <v>40</v>
      </c>
      <c r="V9" s="167">
        <v>45</v>
      </c>
      <c r="W9" s="167">
        <v>40</v>
      </c>
    </row>
    <row r="10" spans="1:23" x14ac:dyDescent="0.3">
      <c r="A10" s="157">
        <v>0</v>
      </c>
      <c r="B10" s="157">
        <v>30</v>
      </c>
      <c r="D10" s="157">
        <v>23</v>
      </c>
      <c r="E10" s="157">
        <v>30</v>
      </c>
      <c r="G10" s="157">
        <v>33</v>
      </c>
      <c r="H10" s="157">
        <v>30</v>
      </c>
      <c r="J10" s="157">
        <v>0</v>
      </c>
      <c r="K10" s="157">
        <v>73</v>
      </c>
      <c r="M10" s="167">
        <v>58</v>
      </c>
      <c r="N10" s="167">
        <v>50</v>
      </c>
      <c r="P10" s="167">
        <v>90</v>
      </c>
      <c r="Q10" s="167">
        <v>50</v>
      </c>
      <c r="S10" s="167">
        <v>97</v>
      </c>
      <c r="T10" s="167">
        <v>50</v>
      </c>
      <c r="V10" s="167">
        <v>45</v>
      </c>
      <c r="W10" s="167">
        <v>50</v>
      </c>
    </row>
    <row r="11" spans="1:23" x14ac:dyDescent="0.3">
      <c r="A11" s="196" t="s">
        <v>311</v>
      </c>
      <c r="D11" s="157">
        <v>0</v>
      </c>
      <c r="E11" s="157">
        <v>37</v>
      </c>
      <c r="G11" s="157">
        <v>22</v>
      </c>
      <c r="H11" s="157">
        <v>35</v>
      </c>
      <c r="J11" s="45" t="s">
        <v>312</v>
      </c>
      <c r="K11"/>
      <c r="M11" s="167">
        <v>58</v>
      </c>
      <c r="N11" s="167">
        <v>60</v>
      </c>
      <c r="P11" s="167">
        <v>71</v>
      </c>
      <c r="Q11" s="167">
        <v>60</v>
      </c>
      <c r="S11" s="167">
        <v>85</v>
      </c>
      <c r="T11" s="167">
        <v>60</v>
      </c>
      <c r="V11" s="167">
        <v>45</v>
      </c>
      <c r="W11" s="167">
        <v>60</v>
      </c>
    </row>
    <row r="12" spans="1:23" x14ac:dyDescent="0.3">
      <c r="D12" s="196" t="s">
        <v>313</v>
      </c>
      <c r="G12" s="157">
        <v>11</v>
      </c>
      <c r="H12" s="157">
        <v>40</v>
      </c>
      <c r="J12" s="161" t="s">
        <v>314</v>
      </c>
      <c r="K12" s="162"/>
      <c r="L12"/>
      <c r="M12" s="167">
        <v>52</v>
      </c>
      <c r="N12" s="167">
        <v>70</v>
      </c>
      <c r="P12" s="167">
        <v>51</v>
      </c>
      <c r="Q12" s="167">
        <v>70</v>
      </c>
      <c r="S12" s="167">
        <v>69</v>
      </c>
      <c r="T12" s="167">
        <v>70</v>
      </c>
      <c r="V12" s="167">
        <v>45</v>
      </c>
      <c r="W12" s="167">
        <v>70</v>
      </c>
    </row>
    <row r="13" spans="1:23" x14ac:dyDescent="0.3">
      <c r="A13" s="307" t="s">
        <v>314</v>
      </c>
      <c r="B13" s="308"/>
      <c r="G13" s="157">
        <v>0</v>
      </c>
      <c r="H13" s="157">
        <v>44</v>
      </c>
      <c r="J13" s="197" t="s">
        <v>247</v>
      </c>
      <c r="K13" s="157">
        <v>0</v>
      </c>
      <c r="L13"/>
      <c r="M13" s="167">
        <v>45</v>
      </c>
      <c r="N13" s="167">
        <v>80</v>
      </c>
      <c r="P13" s="167">
        <v>28</v>
      </c>
      <c r="Q13" s="167">
        <v>80</v>
      </c>
      <c r="S13" s="167">
        <v>51</v>
      </c>
      <c r="T13" s="167">
        <v>80</v>
      </c>
      <c r="V13" s="167">
        <v>45</v>
      </c>
      <c r="W13" s="167">
        <v>80</v>
      </c>
    </row>
    <row r="14" spans="1:23" x14ac:dyDescent="0.3">
      <c r="A14" s="197" t="s">
        <v>247</v>
      </c>
      <c r="B14" s="157">
        <v>0</v>
      </c>
      <c r="D14" s="307" t="s">
        <v>314</v>
      </c>
      <c r="E14" s="308"/>
      <c r="G14" s="196" t="s">
        <v>315</v>
      </c>
      <c r="J14" s="197" t="s">
        <v>245</v>
      </c>
      <c r="K14" s="157">
        <v>30</v>
      </c>
      <c r="L14"/>
      <c r="M14" s="167">
        <v>30.5</v>
      </c>
      <c r="N14" s="167">
        <v>90</v>
      </c>
      <c r="P14" s="167">
        <v>2</v>
      </c>
      <c r="Q14" s="167">
        <v>90</v>
      </c>
      <c r="S14" s="167">
        <v>34</v>
      </c>
      <c r="T14" s="167">
        <v>90</v>
      </c>
      <c r="V14" s="167">
        <v>45</v>
      </c>
      <c r="W14" s="167">
        <v>90</v>
      </c>
    </row>
    <row r="15" spans="1:23" x14ac:dyDescent="0.3">
      <c r="A15" s="197" t="s">
        <v>245</v>
      </c>
      <c r="B15" s="157">
        <v>5</v>
      </c>
      <c r="D15" s="197" t="s">
        <v>247</v>
      </c>
      <c r="E15" s="157">
        <v>0</v>
      </c>
      <c r="G15" s="196"/>
      <c r="J15" s="161" t="s">
        <v>316</v>
      </c>
      <c r="K15" s="162"/>
      <c r="L15"/>
      <c r="M15" s="167">
        <v>16</v>
      </c>
      <c r="N15" s="167">
        <v>100</v>
      </c>
      <c r="P15" s="157">
        <v>0</v>
      </c>
      <c r="Q15" s="167">
        <v>91</v>
      </c>
      <c r="S15" s="167">
        <v>17</v>
      </c>
      <c r="T15" s="167">
        <v>100</v>
      </c>
      <c r="V15" s="167">
        <v>40</v>
      </c>
      <c r="W15" s="167">
        <v>100</v>
      </c>
    </row>
    <row r="16" spans="1:23" x14ac:dyDescent="0.3">
      <c r="A16" s="307" t="s">
        <v>316</v>
      </c>
      <c r="B16" s="308"/>
      <c r="D16" s="197" t="s">
        <v>245</v>
      </c>
      <c r="E16" s="157">
        <v>5</v>
      </c>
      <c r="G16" s="307" t="s">
        <v>314</v>
      </c>
      <c r="H16" s="308"/>
      <c r="J16" s="197" t="s">
        <v>247</v>
      </c>
      <c r="K16" s="157">
        <v>85</v>
      </c>
      <c r="L16"/>
      <c r="M16" s="167">
        <v>4</v>
      </c>
      <c r="N16" s="167">
        <v>110</v>
      </c>
      <c r="P16" s="45" t="s">
        <v>317</v>
      </c>
      <c r="Q16" s="45"/>
      <c r="S16" s="157">
        <v>0</v>
      </c>
      <c r="T16" s="157">
        <v>110</v>
      </c>
      <c r="V16" s="167">
        <v>30</v>
      </c>
      <c r="W16" s="167">
        <v>110</v>
      </c>
    </row>
    <row r="17" spans="1:26" x14ac:dyDescent="0.3">
      <c r="A17" s="197" t="s">
        <v>247</v>
      </c>
      <c r="B17" s="157">
        <v>50</v>
      </c>
      <c r="D17" s="307" t="s">
        <v>316</v>
      </c>
      <c r="E17" s="308"/>
      <c r="G17" s="197" t="s">
        <v>247</v>
      </c>
      <c r="H17" s="157">
        <v>0</v>
      </c>
      <c r="J17" s="197" t="s">
        <v>245</v>
      </c>
      <c r="K17" s="157">
        <v>73</v>
      </c>
      <c r="L17"/>
      <c r="M17" s="157">
        <v>0</v>
      </c>
      <c r="N17" s="157">
        <v>112</v>
      </c>
      <c r="P17" s="163" t="s">
        <v>314</v>
      </c>
      <c r="Q17" s="164"/>
      <c r="S17" s="196" t="s">
        <v>318</v>
      </c>
      <c r="T17"/>
      <c r="V17" s="167">
        <v>20</v>
      </c>
      <c r="W17" s="167">
        <v>120</v>
      </c>
    </row>
    <row r="18" spans="1:26" ht="16.2" x14ac:dyDescent="0.3">
      <c r="A18" s="197" t="s">
        <v>245</v>
      </c>
      <c r="B18" s="157">
        <v>44</v>
      </c>
      <c r="D18" s="197" t="s">
        <v>247</v>
      </c>
      <c r="E18" s="157">
        <v>69</v>
      </c>
      <c r="G18" s="197" t="s">
        <v>245</v>
      </c>
      <c r="H18" s="157">
        <v>5</v>
      </c>
      <c r="J18" s="134" t="s">
        <v>206</v>
      </c>
      <c r="K18"/>
      <c r="L18"/>
      <c r="M18" s="45" t="s">
        <v>319</v>
      </c>
      <c r="N18"/>
      <c r="P18" s="197" t="s">
        <v>247</v>
      </c>
      <c r="Q18" s="157">
        <v>0</v>
      </c>
      <c r="S18" s="163" t="s">
        <v>314</v>
      </c>
      <c r="T18" s="164"/>
      <c r="V18" s="167">
        <v>10</v>
      </c>
      <c r="W18" s="167">
        <v>130</v>
      </c>
    </row>
    <row r="19" spans="1:26" x14ac:dyDescent="0.3">
      <c r="A19" s="158" t="s">
        <v>198</v>
      </c>
      <c r="B19" s="157"/>
      <c r="D19" s="197" t="s">
        <v>245</v>
      </c>
      <c r="E19" s="157">
        <v>37</v>
      </c>
      <c r="G19" s="307" t="s">
        <v>316</v>
      </c>
      <c r="H19" s="308"/>
      <c r="J19" s="135" t="e">
        <f xml:space="preserve"> -0.0016*B1^2 - 0.369*B1 + 73.432</f>
        <v>#DIV/0!</v>
      </c>
      <c r="K19" s="168" t="s">
        <v>245</v>
      </c>
      <c r="M19" s="163" t="s">
        <v>314</v>
      </c>
      <c r="N19" s="164"/>
      <c r="P19" s="197" t="s">
        <v>245</v>
      </c>
      <c r="Q19" s="157">
        <v>5</v>
      </c>
      <c r="S19" s="197" t="s">
        <v>247</v>
      </c>
      <c r="T19" s="157">
        <v>0</v>
      </c>
      <c r="V19" s="157">
        <v>0</v>
      </c>
      <c r="W19" s="157">
        <v>138</v>
      </c>
    </row>
    <row r="20" spans="1:26" ht="16.2" x14ac:dyDescent="0.3">
      <c r="A20" s="159" t="e">
        <f>(-0.0104*$B$1^2)+(0.1091*$B$1)+25.844</f>
        <v>#DIV/0!</v>
      </c>
      <c r="B20" s="159" t="s">
        <v>245</v>
      </c>
      <c r="D20" s="158" t="s">
        <v>201</v>
      </c>
      <c r="E20" s="157"/>
      <c r="G20" s="197" t="s">
        <v>247</v>
      </c>
      <c r="H20" s="157">
        <v>77</v>
      </c>
      <c r="M20" s="197" t="s">
        <v>247</v>
      </c>
      <c r="N20" s="157">
        <v>0</v>
      </c>
      <c r="P20" s="163" t="s">
        <v>316</v>
      </c>
      <c r="Q20" s="164"/>
      <c r="S20" s="197" t="s">
        <v>245</v>
      </c>
      <c r="T20" s="157">
        <v>5</v>
      </c>
      <c r="V20" s="45" t="s">
        <v>320</v>
      </c>
      <c r="W20"/>
    </row>
    <row r="21" spans="1:26" x14ac:dyDescent="0.3">
      <c r="D21" s="160" t="e">
        <f>(-0.0027*B1^2)+(-0.2993*B1)+38.298</f>
        <v>#DIV/0!</v>
      </c>
      <c r="E21" s="160" t="s">
        <v>245</v>
      </c>
      <c r="G21" s="197" t="s">
        <v>245</v>
      </c>
      <c r="H21" s="157">
        <v>44</v>
      </c>
      <c r="J21" s="135"/>
      <c r="M21" s="197" t="s">
        <v>245</v>
      </c>
      <c r="N21" s="157">
        <v>5</v>
      </c>
      <c r="P21" s="197" t="s">
        <v>247</v>
      </c>
      <c r="Q21" s="157">
        <v>145</v>
      </c>
      <c r="S21" s="163" t="s">
        <v>316</v>
      </c>
      <c r="T21" s="164"/>
      <c r="V21" s="163" t="s">
        <v>314</v>
      </c>
      <c r="W21" s="164"/>
    </row>
    <row r="22" spans="1:26" x14ac:dyDescent="0.3">
      <c r="G22" s="158" t="s">
        <v>204</v>
      </c>
      <c r="H22" s="157"/>
      <c r="J22" s="135"/>
      <c r="M22" s="163" t="s">
        <v>316</v>
      </c>
      <c r="N22" s="164"/>
      <c r="P22" s="197" t="s">
        <v>245</v>
      </c>
      <c r="Q22" s="157">
        <v>91</v>
      </c>
      <c r="S22" s="197" t="s">
        <v>247</v>
      </c>
      <c r="T22" s="157">
        <v>145</v>
      </c>
      <c r="V22" s="197" t="s">
        <v>247</v>
      </c>
      <c r="W22" s="157">
        <v>0</v>
      </c>
    </row>
    <row r="23" spans="1:26" x14ac:dyDescent="0.3">
      <c r="F23" s="137"/>
      <c r="G23" s="160" t="e">
        <f>(-0.0015*B1^2)+(-0.3913*B1)+ 44.421</f>
        <v>#DIV/0!</v>
      </c>
      <c r="H23" s="160" t="s">
        <v>245</v>
      </c>
      <c r="M23" s="197" t="s">
        <v>247</v>
      </c>
      <c r="N23" s="157">
        <v>58</v>
      </c>
      <c r="P23" s="134" t="s">
        <v>212</v>
      </c>
      <c r="Q23" s="134"/>
      <c r="S23" s="197" t="s">
        <v>245</v>
      </c>
      <c r="T23" s="157">
        <v>110</v>
      </c>
      <c r="V23" s="197" t="s">
        <v>245</v>
      </c>
      <c r="W23" s="157">
        <v>5</v>
      </c>
    </row>
    <row r="24" spans="1:26" x14ac:dyDescent="0.3">
      <c r="F24" s="137"/>
      <c r="G24" s="137"/>
      <c r="H24" s="137"/>
      <c r="M24" s="197" t="s">
        <v>245</v>
      </c>
      <c r="N24" s="157">
        <v>112</v>
      </c>
      <c r="P24" s="135" t="e">
        <f xml:space="preserve"> -0.0023*B1^2 - 0.2514*B1 + 89.678</f>
        <v>#DIV/0!</v>
      </c>
      <c r="Q24" s="168" t="s">
        <v>245</v>
      </c>
      <c r="S24" s="134" t="s">
        <v>215</v>
      </c>
      <c r="V24" s="158" t="s">
        <v>316</v>
      </c>
      <c r="W24" s="157"/>
    </row>
    <row r="25" spans="1:26" x14ac:dyDescent="0.3">
      <c r="F25" s="137"/>
      <c r="G25" s="137"/>
      <c r="H25" s="137"/>
      <c r="M25" s="134" t="s">
        <v>209</v>
      </c>
      <c r="N25" s="134"/>
      <c r="S25" s="135" t="e">
        <f xml:space="preserve"> -0.0024*B1^2 - 0.3399*B1 + 105.2</f>
        <v>#DIV/0!</v>
      </c>
      <c r="T25" s="168" t="s">
        <v>245</v>
      </c>
      <c r="V25" s="197" t="s">
        <v>247</v>
      </c>
      <c r="W25" s="157">
        <v>45</v>
      </c>
    </row>
    <row r="26" spans="1:26" x14ac:dyDescent="0.3">
      <c r="F26" s="137"/>
      <c r="G26" s="137"/>
      <c r="H26" s="137"/>
      <c r="M26" s="135" t="e">
        <f xml:space="preserve"> -0.0073*B1^2 - 0.4139*B1 + 110.47</f>
        <v>#DIV/0!</v>
      </c>
      <c r="N26" s="168" t="s">
        <v>245</v>
      </c>
      <c r="V26" s="197" t="s">
        <v>245</v>
      </c>
      <c r="W26" s="157">
        <v>138</v>
      </c>
    </row>
    <row r="27" spans="1:26" x14ac:dyDescent="0.3">
      <c r="F27" s="137"/>
      <c r="G27" s="137"/>
      <c r="H27" s="137"/>
      <c r="V27" s="134" t="s">
        <v>218</v>
      </c>
    </row>
    <row r="28" spans="1:26" x14ac:dyDescent="0.3">
      <c r="F28" s="137"/>
      <c r="G28" s="137"/>
      <c r="H28" s="137"/>
      <c r="L28" s="134"/>
      <c r="M28" s="134"/>
      <c r="P28" s="134"/>
      <c r="S28" s="134"/>
      <c r="T28" s="134"/>
      <c r="V28" s="45" t="e">
        <f xml:space="preserve"> -0.0087*B1^2 - 0.6146*B1 + 136.59</f>
        <v>#DIV/0!</v>
      </c>
      <c r="W28" s="168" t="s">
        <v>245</v>
      </c>
    </row>
    <row r="29" spans="1:26" x14ac:dyDescent="0.3">
      <c r="D29" s="196"/>
      <c r="Y29" s="196" t="s">
        <v>321</v>
      </c>
    </row>
    <row r="30" spans="1:26" x14ac:dyDescent="0.3">
      <c r="D30" s="196"/>
      <c r="Y30" s="172"/>
    </row>
    <row r="31" spans="1:26" x14ac:dyDescent="0.3">
      <c r="A31" s="309" t="s">
        <v>220</v>
      </c>
      <c r="B31" s="309"/>
      <c r="D31" s="309" t="s">
        <v>222</v>
      </c>
      <c r="E31" s="309"/>
      <c r="G31" s="309" t="s">
        <v>224</v>
      </c>
      <c r="H31" s="309"/>
      <c r="J31" s="165" t="s">
        <v>226</v>
      </c>
      <c r="K31" s="165"/>
      <c r="L31" s="196" t="s">
        <v>322</v>
      </c>
      <c r="M31" s="311" t="s">
        <v>323</v>
      </c>
      <c r="N31" s="311"/>
      <c r="P31" s="311" t="s">
        <v>324</v>
      </c>
      <c r="Q31" s="311"/>
      <c r="S31" s="311" t="s">
        <v>325</v>
      </c>
      <c r="T31" s="311"/>
      <c r="U31" s="134"/>
      <c r="V31" s="311" t="s">
        <v>326</v>
      </c>
      <c r="W31" s="311"/>
      <c r="X31" s="134"/>
      <c r="Y31" s="312" t="s">
        <v>327</v>
      </c>
      <c r="Z31" s="313"/>
    </row>
    <row r="32" spans="1:26" x14ac:dyDescent="0.3">
      <c r="A32" s="157" t="s">
        <v>328</v>
      </c>
      <c r="B32" s="157" t="s">
        <v>245</v>
      </c>
      <c r="D32" s="157" t="s">
        <v>328</v>
      </c>
      <c r="E32" s="157" t="s">
        <v>245</v>
      </c>
      <c r="G32" s="157" t="s">
        <v>328</v>
      </c>
      <c r="H32" s="157" t="s">
        <v>245</v>
      </c>
      <c r="J32" s="157" t="s">
        <v>328</v>
      </c>
      <c r="K32" s="157" t="s">
        <v>329</v>
      </c>
      <c r="M32" s="167" t="s">
        <v>309</v>
      </c>
      <c r="N32" s="167" t="s">
        <v>310</v>
      </c>
      <c r="P32" s="167" t="s">
        <v>309</v>
      </c>
      <c r="Q32" s="167" t="s">
        <v>310</v>
      </c>
      <c r="S32" s="167" t="s">
        <v>309</v>
      </c>
      <c r="T32" s="167" t="s">
        <v>310</v>
      </c>
      <c r="U32"/>
      <c r="V32" s="167" t="s">
        <v>309</v>
      </c>
      <c r="W32" s="167" t="s">
        <v>310</v>
      </c>
      <c r="X32"/>
      <c r="Y32" s="167" t="s">
        <v>309</v>
      </c>
      <c r="Z32" s="167" t="s">
        <v>310</v>
      </c>
    </row>
    <row r="33" spans="1:26" x14ac:dyDescent="0.3">
      <c r="A33" s="157">
        <v>50</v>
      </c>
      <c r="B33" s="157">
        <v>1</v>
      </c>
      <c r="D33" s="157">
        <v>67.5</v>
      </c>
      <c r="E33" s="157">
        <v>0</v>
      </c>
      <c r="G33" s="157">
        <v>80</v>
      </c>
      <c r="H33" s="157">
        <v>2.8</v>
      </c>
      <c r="I33" s="96">
        <v>-8.8304195804196551E-7</v>
      </c>
      <c r="J33" s="166">
        <v>90</v>
      </c>
      <c r="K33" s="166">
        <v>3</v>
      </c>
      <c r="L33" s="38">
        <v>2.4431818181812834E-8</v>
      </c>
      <c r="M33" s="167">
        <v>0</v>
      </c>
      <c r="N33" s="167">
        <v>65</v>
      </c>
      <c r="P33" s="167">
        <v>0</v>
      </c>
      <c r="Q33" s="167">
        <v>77</v>
      </c>
      <c r="S33" s="167">
        <v>0</v>
      </c>
      <c r="T33" s="167">
        <v>90</v>
      </c>
      <c r="U33"/>
      <c r="V33" s="167">
        <v>0</v>
      </c>
      <c r="W33" s="167">
        <v>110</v>
      </c>
      <c r="X33"/>
      <c r="Y33" s="167">
        <v>0</v>
      </c>
      <c r="Z33" s="167">
        <v>132</v>
      </c>
    </row>
    <row r="34" spans="1:26" x14ac:dyDescent="0.3">
      <c r="A34" s="157">
        <v>40</v>
      </c>
      <c r="B34" s="157">
        <v>8</v>
      </c>
      <c r="D34" s="157">
        <v>60</v>
      </c>
      <c r="E34" s="157">
        <v>7</v>
      </c>
      <c r="G34" s="157">
        <v>70</v>
      </c>
      <c r="H34" s="157">
        <v>11.75</v>
      </c>
      <c r="I34" s="96">
        <v>1.4963856513856605E-4</v>
      </c>
      <c r="J34" s="166">
        <v>80</v>
      </c>
      <c r="K34" s="166">
        <v>12.5</v>
      </c>
      <c r="L34" s="38">
        <v>-3.7476010101009254E-5</v>
      </c>
      <c r="M34" s="167">
        <v>20</v>
      </c>
      <c r="N34" s="167">
        <v>60</v>
      </c>
      <c r="P34" s="167">
        <v>10</v>
      </c>
      <c r="Q34" s="167">
        <v>72</v>
      </c>
      <c r="S34" s="167">
        <v>12</v>
      </c>
      <c r="T34" s="167">
        <v>85</v>
      </c>
      <c r="U34"/>
      <c r="V34" s="167">
        <v>20</v>
      </c>
      <c r="W34" s="167">
        <v>97</v>
      </c>
      <c r="X34"/>
      <c r="Y34" s="167">
        <v>10</v>
      </c>
      <c r="Z34" s="167">
        <v>126</v>
      </c>
    </row>
    <row r="35" spans="1:26" x14ac:dyDescent="0.3">
      <c r="A35" s="157">
        <v>30</v>
      </c>
      <c r="B35" s="157">
        <v>13.5</v>
      </c>
      <c r="D35" s="157">
        <v>50</v>
      </c>
      <c r="E35" s="157">
        <v>14.5</v>
      </c>
      <c r="G35" s="157">
        <v>60</v>
      </c>
      <c r="H35" s="157">
        <v>18.666</v>
      </c>
      <c r="I35" s="96">
        <v>-1.1811050893550921E-2</v>
      </c>
      <c r="J35" s="166">
        <v>70</v>
      </c>
      <c r="K35" s="166">
        <v>20.75</v>
      </c>
      <c r="L35" s="38">
        <v>1.1007007575757136E-3</v>
      </c>
      <c r="M35" s="167">
        <v>25</v>
      </c>
      <c r="N35" s="167">
        <v>57</v>
      </c>
      <c r="P35" s="167">
        <v>15</v>
      </c>
      <c r="Q35" s="167">
        <v>69</v>
      </c>
      <c r="S35" s="167">
        <v>24</v>
      </c>
      <c r="T35" s="167">
        <v>80</v>
      </c>
      <c r="U35"/>
      <c r="V35" s="167">
        <v>30</v>
      </c>
      <c r="W35" s="167">
        <v>90</v>
      </c>
      <c r="X35"/>
      <c r="Y35" s="167">
        <v>25</v>
      </c>
      <c r="Z35" s="167">
        <v>115</v>
      </c>
    </row>
    <row r="36" spans="1:26" x14ac:dyDescent="0.3">
      <c r="A36" s="157">
        <v>20</v>
      </c>
      <c r="B36" s="157">
        <v>18</v>
      </c>
      <c r="D36" s="157">
        <v>40</v>
      </c>
      <c r="E36" s="157">
        <v>21</v>
      </c>
      <c r="G36" s="157">
        <v>50</v>
      </c>
      <c r="H36" s="157">
        <v>25.33</v>
      </c>
      <c r="I36" s="96">
        <v>-0.12432415177415158</v>
      </c>
      <c r="J36" s="166">
        <v>60</v>
      </c>
      <c r="K36" s="166">
        <v>27.75</v>
      </c>
      <c r="L36" s="38">
        <v>-0.39147777777777709</v>
      </c>
      <c r="M36" s="167">
        <v>35</v>
      </c>
      <c r="N36" s="167">
        <v>53</v>
      </c>
      <c r="P36" s="167">
        <v>25</v>
      </c>
      <c r="Q36" s="167">
        <v>64</v>
      </c>
      <c r="S36" s="167">
        <v>30</v>
      </c>
      <c r="T36" s="167">
        <v>77</v>
      </c>
      <c r="U36"/>
      <c r="V36" s="167">
        <v>40</v>
      </c>
      <c r="W36" s="167">
        <v>82</v>
      </c>
      <c r="X36"/>
      <c r="Y36" s="167">
        <v>40</v>
      </c>
      <c r="Z36" s="167">
        <v>106</v>
      </c>
    </row>
    <row r="37" spans="1:26" x14ac:dyDescent="0.3">
      <c r="A37" s="157">
        <v>10</v>
      </c>
      <c r="B37" s="157">
        <v>21</v>
      </c>
      <c r="D37" s="157">
        <v>30</v>
      </c>
      <c r="E37" s="157">
        <v>26.5</v>
      </c>
      <c r="G37" s="157">
        <v>40</v>
      </c>
      <c r="H37" s="157">
        <v>31.5</v>
      </c>
      <c r="I37" s="96">
        <v>47.96411033411033</v>
      </c>
      <c r="J37" s="166">
        <v>50</v>
      </c>
      <c r="K37" s="166">
        <v>33.665999999999997</v>
      </c>
      <c r="L37" s="38">
        <v>55.01368181818183</v>
      </c>
      <c r="M37" s="167">
        <v>40</v>
      </c>
      <c r="N37" s="167">
        <v>51</v>
      </c>
      <c r="P37" s="167">
        <v>30</v>
      </c>
      <c r="Q37" s="167">
        <v>61</v>
      </c>
      <c r="S37" s="167">
        <v>37</v>
      </c>
      <c r="T37" s="167">
        <v>75</v>
      </c>
      <c r="U37"/>
      <c r="V37" s="167">
        <v>50</v>
      </c>
      <c r="W37" s="167">
        <v>75</v>
      </c>
      <c r="X37"/>
      <c r="Y37" s="167">
        <v>45</v>
      </c>
      <c r="Z37" s="167">
        <v>100</v>
      </c>
    </row>
    <row r="38" spans="1:26" x14ac:dyDescent="0.3">
      <c r="A38" s="157">
        <v>0</v>
      </c>
      <c r="B38" s="157">
        <v>23</v>
      </c>
      <c r="D38" s="157">
        <v>20</v>
      </c>
      <c r="E38" s="157">
        <v>31</v>
      </c>
      <c r="G38" s="157">
        <v>30</v>
      </c>
      <c r="H38" s="157">
        <v>37</v>
      </c>
      <c r="J38" s="166">
        <v>40</v>
      </c>
      <c r="K38" s="166">
        <v>38.75</v>
      </c>
      <c r="M38" s="167">
        <v>45</v>
      </c>
      <c r="N38" s="167">
        <v>47</v>
      </c>
      <c r="P38" s="167">
        <v>40</v>
      </c>
      <c r="Q38" s="167">
        <v>55</v>
      </c>
      <c r="S38" s="167">
        <v>55</v>
      </c>
      <c r="T38" s="167">
        <v>65</v>
      </c>
      <c r="U38"/>
      <c r="V38" s="167">
        <v>56</v>
      </c>
      <c r="W38" s="167">
        <v>70</v>
      </c>
      <c r="X38"/>
      <c r="Y38" s="167">
        <v>55</v>
      </c>
      <c r="Z38" s="167">
        <v>92</v>
      </c>
    </row>
    <row r="39" spans="1:26" x14ac:dyDescent="0.3">
      <c r="A39" s="196" t="s">
        <v>330</v>
      </c>
      <c r="D39" s="157">
        <v>10</v>
      </c>
      <c r="E39" s="157">
        <v>34.5</v>
      </c>
      <c r="G39" s="157">
        <v>20</v>
      </c>
      <c r="H39" s="157">
        <v>41.8</v>
      </c>
      <c r="J39" s="166">
        <v>30</v>
      </c>
      <c r="K39" s="166">
        <v>43.25</v>
      </c>
      <c r="M39" s="167">
        <v>55</v>
      </c>
      <c r="N39" s="167">
        <v>42</v>
      </c>
      <c r="P39" s="167">
        <v>55</v>
      </c>
      <c r="Q39" s="167">
        <v>45</v>
      </c>
      <c r="S39" s="167">
        <v>75</v>
      </c>
      <c r="T39" s="167">
        <v>50</v>
      </c>
      <c r="U39"/>
      <c r="V39" s="167">
        <v>70</v>
      </c>
      <c r="W39" s="167">
        <v>60</v>
      </c>
      <c r="X39"/>
      <c r="Y39" s="167">
        <v>65</v>
      </c>
      <c r="Z39" s="167">
        <v>84</v>
      </c>
    </row>
    <row r="40" spans="1:26" x14ac:dyDescent="0.3">
      <c r="D40" s="157">
        <v>0</v>
      </c>
      <c r="E40" s="157">
        <v>37</v>
      </c>
      <c r="G40" s="157">
        <v>10</v>
      </c>
      <c r="H40" s="157">
        <v>45.6</v>
      </c>
      <c r="J40" s="166">
        <v>20</v>
      </c>
      <c r="K40" s="166">
        <v>47.332999999999998</v>
      </c>
      <c r="M40" s="167">
        <v>70</v>
      </c>
      <c r="N40" s="167">
        <v>30</v>
      </c>
      <c r="P40" s="167">
        <v>65</v>
      </c>
      <c r="Q40" s="167">
        <v>37</v>
      </c>
      <c r="S40" s="167">
        <v>85</v>
      </c>
      <c r="T40" s="167">
        <v>37</v>
      </c>
      <c r="U40"/>
      <c r="V40" s="167">
        <v>80</v>
      </c>
      <c r="W40" s="167">
        <v>53</v>
      </c>
      <c r="X40"/>
      <c r="Y40" s="167">
        <v>75</v>
      </c>
      <c r="Z40" s="167">
        <v>72</v>
      </c>
    </row>
    <row r="41" spans="1:26" x14ac:dyDescent="0.3">
      <c r="A41" s="307" t="s">
        <v>314</v>
      </c>
      <c r="B41" s="308"/>
      <c r="D41" s="96" t="s">
        <v>331</v>
      </c>
      <c r="G41" s="157">
        <v>0</v>
      </c>
      <c r="H41" s="157">
        <v>48</v>
      </c>
      <c r="J41" s="166">
        <v>10</v>
      </c>
      <c r="K41" s="166">
        <v>51.2</v>
      </c>
      <c r="M41" s="167">
        <v>75</v>
      </c>
      <c r="N41" s="167">
        <v>25</v>
      </c>
      <c r="P41" s="167">
        <v>75</v>
      </c>
      <c r="Q41" s="167">
        <v>27</v>
      </c>
      <c r="S41" s="167">
        <v>90</v>
      </c>
      <c r="T41" s="167">
        <v>30</v>
      </c>
      <c r="U41"/>
      <c r="V41" s="167">
        <v>90</v>
      </c>
      <c r="W41" s="167">
        <v>45</v>
      </c>
      <c r="X41"/>
      <c r="Y41" s="167">
        <v>80</v>
      </c>
      <c r="Z41" s="167">
        <v>65</v>
      </c>
    </row>
    <row r="42" spans="1:26" x14ac:dyDescent="0.3">
      <c r="A42" s="197" t="s">
        <v>247</v>
      </c>
      <c r="B42" s="157">
        <v>0</v>
      </c>
      <c r="G42" s="157">
        <v>83</v>
      </c>
      <c r="H42" s="157">
        <v>0</v>
      </c>
      <c r="J42" s="166">
        <v>0</v>
      </c>
      <c r="K42" s="166">
        <v>55</v>
      </c>
      <c r="M42" s="167">
        <v>80</v>
      </c>
      <c r="N42" s="167">
        <v>20</v>
      </c>
      <c r="P42" s="167">
        <v>85</v>
      </c>
      <c r="Q42" s="167">
        <v>17</v>
      </c>
      <c r="S42" s="167">
        <v>95</v>
      </c>
      <c r="T42" s="167">
        <v>22</v>
      </c>
      <c r="U42"/>
      <c r="V42" s="167">
        <v>110</v>
      </c>
      <c r="W42" s="167">
        <v>30</v>
      </c>
      <c r="X42"/>
      <c r="Y42" s="167">
        <v>90</v>
      </c>
      <c r="Z42" s="167">
        <v>54</v>
      </c>
    </row>
    <row r="43" spans="1:26" x14ac:dyDescent="0.3">
      <c r="A43" s="197" t="s">
        <v>245</v>
      </c>
      <c r="B43" s="157">
        <v>1</v>
      </c>
      <c r="D43" s="307" t="s">
        <v>314</v>
      </c>
      <c r="E43" s="308"/>
      <c r="J43" s="38"/>
      <c r="M43" s="167">
        <v>90</v>
      </c>
      <c r="N43" s="167">
        <v>10</v>
      </c>
      <c r="P43" s="167">
        <v>95</v>
      </c>
      <c r="Q43" s="167">
        <v>7</v>
      </c>
      <c r="S43" s="167">
        <v>100</v>
      </c>
      <c r="T43" s="167">
        <v>8</v>
      </c>
      <c r="U43"/>
      <c r="V43" s="167">
        <v>125</v>
      </c>
      <c r="W43" s="167">
        <v>10</v>
      </c>
      <c r="X43"/>
      <c r="Y43" s="167">
        <v>100</v>
      </c>
      <c r="Z43" s="167">
        <v>38</v>
      </c>
    </row>
    <row r="44" spans="1:26" ht="16.2" x14ac:dyDescent="0.3">
      <c r="A44" s="307" t="s">
        <v>316</v>
      </c>
      <c r="B44" s="308"/>
      <c r="D44" s="197" t="s">
        <v>247</v>
      </c>
      <c r="E44" s="157">
        <v>0</v>
      </c>
      <c r="G44" s="307" t="s">
        <v>314</v>
      </c>
      <c r="H44" s="308"/>
      <c r="J44" s="161" t="s">
        <v>314</v>
      </c>
      <c r="K44" s="162"/>
      <c r="M44" s="157">
        <v>95</v>
      </c>
      <c r="N44" s="157">
        <v>5</v>
      </c>
      <c r="P44" t="s">
        <v>332</v>
      </c>
      <c r="Q44"/>
      <c r="S44" s="167">
        <v>107</v>
      </c>
      <c r="T44" s="167">
        <v>0</v>
      </c>
      <c r="U44"/>
      <c r="V44" s="167">
        <v>130</v>
      </c>
      <c r="W44" s="167">
        <v>0</v>
      </c>
      <c r="X44"/>
      <c r="Y44" s="167">
        <v>102</v>
      </c>
      <c r="Z44" s="167">
        <v>30</v>
      </c>
    </row>
    <row r="45" spans="1:26" x14ac:dyDescent="0.3">
      <c r="A45" s="197" t="s">
        <v>247</v>
      </c>
      <c r="B45" s="157">
        <v>50</v>
      </c>
      <c r="D45" s="197" t="s">
        <v>245</v>
      </c>
      <c r="E45" s="157">
        <v>0</v>
      </c>
      <c r="G45" s="197" t="s">
        <v>247</v>
      </c>
      <c r="H45" s="157">
        <v>0</v>
      </c>
      <c r="J45" s="197" t="s">
        <v>247</v>
      </c>
      <c r="K45" s="157">
        <v>0</v>
      </c>
      <c r="M45" t="s">
        <v>312</v>
      </c>
      <c r="P45"/>
      <c r="Q45"/>
      <c r="S45" t="s">
        <v>333</v>
      </c>
      <c r="T45"/>
      <c r="U45"/>
      <c r="V45" t="s">
        <v>334</v>
      </c>
      <c r="W45"/>
      <c r="X45"/>
      <c r="Y45" s="167">
        <v>102</v>
      </c>
      <c r="Z45" s="167">
        <v>20</v>
      </c>
    </row>
    <row r="46" spans="1:26" x14ac:dyDescent="0.3">
      <c r="A46" s="197" t="s">
        <v>245</v>
      </c>
      <c r="B46" s="157">
        <v>23</v>
      </c>
      <c r="D46" s="307" t="s">
        <v>316</v>
      </c>
      <c r="E46" s="308"/>
      <c r="G46" s="197" t="s">
        <v>245</v>
      </c>
      <c r="H46" s="157">
        <v>0</v>
      </c>
      <c r="J46" s="197" t="s">
        <v>245</v>
      </c>
      <c r="K46" s="157">
        <v>3</v>
      </c>
      <c r="N46"/>
      <c r="P46" s="307" t="s">
        <v>314</v>
      </c>
      <c r="Q46" s="308"/>
      <c r="T46"/>
      <c r="U46"/>
      <c r="V46"/>
      <c r="W46"/>
      <c r="X46"/>
      <c r="Y46" s="167">
        <v>102</v>
      </c>
      <c r="Z46" s="167">
        <v>10</v>
      </c>
    </row>
    <row r="47" spans="1:26" x14ac:dyDescent="0.3">
      <c r="A47" s="104" t="s">
        <v>220</v>
      </c>
      <c r="D47" s="197" t="s">
        <v>247</v>
      </c>
      <c r="E47" s="157">
        <v>67.5</v>
      </c>
      <c r="G47" s="307" t="s">
        <v>316</v>
      </c>
      <c r="H47" s="308"/>
      <c r="J47" s="161" t="s">
        <v>316</v>
      </c>
      <c r="K47" s="162"/>
      <c r="M47" s="307" t="s">
        <v>314</v>
      </c>
      <c r="N47" s="308"/>
      <c r="P47" s="197" t="s">
        <v>247</v>
      </c>
      <c r="Q47" s="157">
        <v>0</v>
      </c>
      <c r="S47" s="307" t="s">
        <v>314</v>
      </c>
      <c r="T47" s="308"/>
      <c r="U47"/>
      <c r="V47" s="307" t="s">
        <v>314</v>
      </c>
      <c r="W47" s="308"/>
      <c r="X47"/>
      <c r="Y47" s="167">
        <v>102</v>
      </c>
      <c r="Z47" s="167">
        <v>0</v>
      </c>
    </row>
    <row r="48" spans="1:26" x14ac:dyDescent="0.3">
      <c r="A48" s="137" t="e">
        <f>(7.8063E-18*B1^4) - (0.0000092593*B1^3) - (0.0055556*B1^2)-(0.13876*B1) + 22.992</f>
        <v>#DIV/0!</v>
      </c>
      <c r="B48" s="137" t="s">
        <v>245</v>
      </c>
      <c r="D48" s="197" t="s">
        <v>245</v>
      </c>
      <c r="E48" s="157">
        <v>37</v>
      </c>
      <c r="G48" s="197" t="s">
        <v>247</v>
      </c>
      <c r="H48" s="157">
        <v>83</v>
      </c>
      <c r="J48" s="197" t="s">
        <v>247</v>
      </c>
      <c r="K48" s="157">
        <v>90</v>
      </c>
      <c r="M48" s="197" t="s">
        <v>247</v>
      </c>
      <c r="N48" s="157">
        <v>0</v>
      </c>
      <c r="P48" s="197" t="s">
        <v>245</v>
      </c>
      <c r="Q48" s="157">
        <v>7</v>
      </c>
      <c r="S48" s="197" t="s">
        <v>247</v>
      </c>
      <c r="T48" s="157">
        <v>0</v>
      </c>
      <c r="U48"/>
      <c r="V48" s="197" t="s">
        <v>247</v>
      </c>
      <c r="W48" s="157">
        <v>0</v>
      </c>
      <c r="X48"/>
      <c r="Y48" s="45" t="s">
        <v>335</v>
      </c>
      <c r="Z48"/>
    </row>
    <row r="49" spans="1:26" x14ac:dyDescent="0.3">
      <c r="C49" s="137"/>
      <c r="D49" s="104" t="s">
        <v>222</v>
      </c>
      <c r="F49" s="137"/>
      <c r="G49" s="197" t="s">
        <v>245</v>
      </c>
      <c r="H49" s="157">
        <v>48</v>
      </c>
      <c r="I49" s="137"/>
      <c r="J49" s="197" t="s">
        <v>245</v>
      </c>
      <c r="K49" s="157">
        <v>55</v>
      </c>
      <c r="M49" s="197" t="s">
        <v>245</v>
      </c>
      <c r="N49" s="157">
        <v>5</v>
      </c>
      <c r="P49" s="307" t="s">
        <v>316</v>
      </c>
      <c r="Q49" s="308"/>
      <c r="S49" s="197" t="s">
        <v>245</v>
      </c>
      <c r="T49" s="157">
        <v>0</v>
      </c>
      <c r="U49"/>
      <c r="V49" s="197" t="s">
        <v>245</v>
      </c>
      <c r="W49" s="157">
        <v>0</v>
      </c>
      <c r="X49"/>
      <c r="Y49" s="307" t="s">
        <v>314</v>
      </c>
      <c r="Z49" s="308"/>
    </row>
    <row r="50" spans="1:26" x14ac:dyDescent="0.3">
      <c r="D50" s="137" t="e">
        <f>(-0.00000064742*B1^4)+(0.000072798*B1^3)-(0.0074839*B1^2)-(0.17471*B1)+36.982</f>
        <v>#DIV/0!</v>
      </c>
      <c r="E50" s="137" t="s">
        <v>245</v>
      </c>
      <c r="G50" s="104" t="s">
        <v>224</v>
      </c>
      <c r="J50" s="104" t="s">
        <v>226</v>
      </c>
      <c r="M50" s="307" t="s">
        <v>316</v>
      </c>
      <c r="N50" s="308"/>
      <c r="P50" s="197" t="s">
        <v>247</v>
      </c>
      <c r="Q50" s="157">
        <v>95</v>
      </c>
      <c r="S50" s="307" t="s">
        <v>316</v>
      </c>
      <c r="T50" s="308"/>
      <c r="V50" s="307" t="s">
        <v>316</v>
      </c>
      <c r="W50" s="308"/>
      <c r="Y50" s="197" t="s">
        <v>247</v>
      </c>
      <c r="Z50" s="157">
        <v>0</v>
      </c>
    </row>
    <row r="51" spans="1:26" x14ac:dyDescent="0.3">
      <c r="G51" s="137" t="e">
        <f>(I33*B1^4)+(I34*B1^3)+(I35*B1^2)+(I36*B1)+I37</f>
        <v>#DIV/0!</v>
      </c>
      <c r="H51" s="137" t="s">
        <v>245</v>
      </c>
      <c r="J51" s="137" t="e">
        <f>(L33*B1^4)+(L34*B1^3)+(L35*B1^2)+(L36*B1)+L37</f>
        <v>#DIV/0!</v>
      </c>
      <c r="K51" s="135" t="s">
        <v>245</v>
      </c>
      <c r="M51" s="197" t="s">
        <v>247</v>
      </c>
      <c r="N51" s="157">
        <v>95</v>
      </c>
      <c r="P51" s="197" t="s">
        <v>245</v>
      </c>
      <c r="Q51" s="157">
        <v>77</v>
      </c>
      <c r="S51" s="197" t="s">
        <v>247</v>
      </c>
      <c r="T51" s="157">
        <v>107</v>
      </c>
      <c r="V51" s="197" t="s">
        <v>247</v>
      </c>
      <c r="W51" s="157">
        <v>130</v>
      </c>
      <c r="Y51" s="197" t="s">
        <v>245</v>
      </c>
      <c r="Z51" s="157">
        <v>0</v>
      </c>
    </row>
    <row r="52" spans="1:26" x14ac:dyDescent="0.3">
      <c r="M52" s="197" t="s">
        <v>245</v>
      </c>
      <c r="N52" s="157">
        <v>65</v>
      </c>
      <c r="P52" s="134" t="s">
        <v>324</v>
      </c>
      <c r="S52" s="197" t="s">
        <v>245</v>
      </c>
      <c r="T52" s="157">
        <v>90</v>
      </c>
      <c r="U52" s="134"/>
      <c r="V52" s="197" t="s">
        <v>245</v>
      </c>
      <c r="W52" s="157">
        <v>110</v>
      </c>
      <c r="Y52" s="307" t="s">
        <v>316</v>
      </c>
      <c r="Z52" s="308"/>
    </row>
    <row r="53" spans="1:26" x14ac:dyDescent="0.3">
      <c r="M53" s="134" t="s">
        <v>323</v>
      </c>
      <c r="N53" s="134"/>
      <c r="P53" s="135" t="e">
        <f>-0.0037*B1^2 - 0.3798*B1 + 76.196</f>
        <v>#DIV/0!</v>
      </c>
      <c r="S53" s="134" t="s">
        <v>325</v>
      </c>
      <c r="T53" s="134"/>
      <c r="V53" s="134" t="s">
        <v>326</v>
      </c>
      <c r="Y53" s="197" t="s">
        <v>247</v>
      </c>
      <c r="Z53" s="157">
        <v>102</v>
      </c>
    </row>
    <row r="54" spans="1:26" x14ac:dyDescent="0.3">
      <c r="M54" s="136" t="e">
        <f xml:space="preserve"> -0.0016*B1^2 - 0.369*B1 + 73.432</f>
        <v>#DIV/0!</v>
      </c>
      <c r="N54" s="135" t="s">
        <v>245</v>
      </c>
      <c r="S54" s="135" t="e">
        <f xml:space="preserve"> -0.00004*B1^3 + 0.0019*B1^2 - 0.4222*B1 + 55.022</f>
        <v>#DIV/0!</v>
      </c>
      <c r="T54" s="135" t="s">
        <v>245</v>
      </c>
      <c r="V54" s="135" t="e">
        <f xml:space="preserve"> -0.00003*B1^3 + 0.0042*B1^2 - 0.8496*B1 + 111.15</f>
        <v>#DIV/0!</v>
      </c>
      <c r="W54" s="196" t="s">
        <v>245</v>
      </c>
      <c r="Y54" s="197" t="s">
        <v>245</v>
      </c>
      <c r="Z54" s="157">
        <v>132</v>
      </c>
    </row>
    <row r="55" spans="1:26" x14ac:dyDescent="0.3">
      <c r="J55"/>
      <c r="O55" s="136"/>
      <c r="P55" s="135"/>
      <c r="U55" s="134"/>
      <c r="W55" s="134"/>
      <c r="X55" s="134"/>
      <c r="Y55" s="134" t="s">
        <v>327</v>
      </c>
    </row>
    <row r="56" spans="1:26" ht="16.2" customHeight="1" x14ac:dyDescent="0.5">
      <c r="J56"/>
      <c r="O56" s="136"/>
      <c r="P56" s="135"/>
      <c r="T56" s="169"/>
      <c r="U56" s="135"/>
      <c r="Y56" s="171" t="e">
        <f xml:space="preserve"> -0.0055*B1^2 - 0.386*B1 + 130.35</f>
        <v>#DIV/0!</v>
      </c>
      <c r="Z56" s="198" t="s">
        <v>245</v>
      </c>
    </row>
    <row r="57" spans="1:26" x14ac:dyDescent="0.3">
      <c r="J57"/>
      <c r="O57" s="136"/>
      <c r="P57" s="135"/>
      <c r="R57" s="170"/>
    </row>
    <row r="58" spans="1:26" x14ac:dyDescent="0.3">
      <c r="J58"/>
      <c r="O58" s="136"/>
      <c r="P58" s="135"/>
    </row>
    <row r="59" spans="1:26" x14ac:dyDescent="0.3">
      <c r="D59" s="105"/>
    </row>
    <row r="60" spans="1:26" x14ac:dyDescent="0.3">
      <c r="A60" s="309" t="s">
        <v>336</v>
      </c>
      <c r="B60" s="309"/>
      <c r="D60" s="309" t="s">
        <v>337</v>
      </c>
      <c r="E60" s="309"/>
      <c r="F60" s="104"/>
      <c r="G60" s="309" t="s">
        <v>338</v>
      </c>
      <c r="H60" s="309"/>
      <c r="I60" s="104"/>
      <c r="J60" s="104"/>
      <c r="K60" s="309" t="s">
        <v>339</v>
      </c>
      <c r="L60" s="309"/>
      <c r="N60" s="104"/>
    </row>
    <row r="61" spans="1:26" x14ac:dyDescent="0.3">
      <c r="A61" s="166" t="s">
        <v>328</v>
      </c>
      <c r="B61" s="166" t="s">
        <v>329</v>
      </c>
      <c r="C61" s="106"/>
      <c r="D61" s="166" t="s">
        <v>328</v>
      </c>
      <c r="E61" s="166" t="s">
        <v>329</v>
      </c>
      <c r="G61" s="166" t="s">
        <v>328</v>
      </c>
      <c r="H61" s="166" t="s">
        <v>329</v>
      </c>
      <c r="I61" s="38"/>
      <c r="K61" s="166" t="s">
        <v>328</v>
      </c>
      <c r="L61" s="166" t="s">
        <v>340</v>
      </c>
      <c r="N61" s="38"/>
      <c r="O61" s="38"/>
    </row>
    <row r="62" spans="1:26" x14ac:dyDescent="0.3">
      <c r="A62" s="157">
        <v>105</v>
      </c>
      <c r="B62" s="157">
        <v>6</v>
      </c>
      <c r="D62" s="157">
        <v>105</v>
      </c>
      <c r="E62" s="157">
        <v>6</v>
      </c>
      <c r="G62" s="157">
        <v>130</v>
      </c>
      <c r="H62" s="157">
        <v>6</v>
      </c>
      <c r="I62" s="38"/>
      <c r="K62" s="157">
        <v>150</v>
      </c>
      <c r="L62" s="157">
        <v>10</v>
      </c>
    </row>
    <row r="63" spans="1:26" x14ac:dyDescent="0.3">
      <c r="A63" s="166">
        <v>90</v>
      </c>
      <c r="B63" s="166">
        <v>10</v>
      </c>
      <c r="D63" s="166">
        <v>90</v>
      </c>
      <c r="E63" s="166">
        <v>10</v>
      </c>
      <c r="G63" s="166">
        <v>115</v>
      </c>
      <c r="H63" s="166">
        <v>10</v>
      </c>
      <c r="I63" s="38"/>
      <c r="K63" s="157">
        <v>145</v>
      </c>
      <c r="L63" s="157">
        <v>15</v>
      </c>
    </row>
    <row r="64" spans="1:26" x14ac:dyDescent="0.3">
      <c r="A64" s="166">
        <v>70</v>
      </c>
      <c r="B64" s="166">
        <v>15</v>
      </c>
      <c r="D64" s="166">
        <v>80</v>
      </c>
      <c r="E64" s="166">
        <v>15</v>
      </c>
      <c r="G64" s="166">
        <v>107</v>
      </c>
      <c r="H64" s="166">
        <v>15</v>
      </c>
      <c r="I64" s="38"/>
      <c r="K64" s="157">
        <v>140</v>
      </c>
      <c r="L64" s="157">
        <v>20</v>
      </c>
    </row>
    <row r="65" spans="1:21" x14ac:dyDescent="0.3">
      <c r="A65" s="166">
        <v>45</v>
      </c>
      <c r="B65" s="166">
        <v>20</v>
      </c>
      <c r="D65" s="166">
        <v>64</v>
      </c>
      <c r="E65" s="166">
        <v>20</v>
      </c>
      <c r="G65" s="166">
        <v>98</v>
      </c>
      <c r="H65" s="166">
        <v>20</v>
      </c>
      <c r="I65" s="38"/>
      <c r="K65" s="157">
        <v>134</v>
      </c>
      <c r="L65" s="157">
        <v>25</v>
      </c>
    </row>
    <row r="66" spans="1:21" x14ac:dyDescent="0.3">
      <c r="A66" s="166">
        <v>15</v>
      </c>
      <c r="B66" s="166">
        <v>25</v>
      </c>
      <c r="D66" s="166">
        <v>50</v>
      </c>
      <c r="E66" s="166">
        <v>25</v>
      </c>
      <c r="G66" s="166">
        <v>88</v>
      </c>
      <c r="H66" s="166">
        <v>25</v>
      </c>
      <c r="I66" s="38"/>
      <c r="K66" s="157">
        <v>128</v>
      </c>
      <c r="L66" s="157">
        <v>30</v>
      </c>
    </row>
    <row r="67" spans="1:21" x14ac:dyDescent="0.3">
      <c r="A67" s="157">
        <v>0</v>
      </c>
      <c r="B67" s="166">
        <v>26</v>
      </c>
      <c r="D67" s="157">
        <v>0</v>
      </c>
      <c r="E67" s="166">
        <v>42</v>
      </c>
      <c r="G67" s="166">
        <v>78</v>
      </c>
      <c r="H67" s="166">
        <v>30</v>
      </c>
      <c r="I67" s="38"/>
      <c r="K67" s="157">
        <v>121</v>
      </c>
      <c r="L67" s="157">
        <v>35</v>
      </c>
    </row>
    <row r="68" spans="1:21" x14ac:dyDescent="0.3">
      <c r="G68" s="166">
        <v>67</v>
      </c>
      <c r="H68" s="166">
        <v>35</v>
      </c>
      <c r="I68" s="38"/>
      <c r="K68" s="157">
        <v>115</v>
      </c>
      <c r="L68" s="157">
        <v>40</v>
      </c>
    </row>
    <row r="69" spans="1:21" x14ac:dyDescent="0.3">
      <c r="D69" s="196" t="s">
        <v>341</v>
      </c>
      <c r="E69" s="38"/>
      <c r="G69" s="166">
        <v>57</v>
      </c>
      <c r="H69" s="166">
        <v>40</v>
      </c>
      <c r="I69" s="38"/>
      <c r="K69" s="157">
        <v>106</v>
      </c>
      <c r="L69" s="157">
        <v>45</v>
      </c>
    </row>
    <row r="70" spans="1:21" x14ac:dyDescent="0.3">
      <c r="A70" s="196" t="s">
        <v>342</v>
      </c>
      <c r="B70" s="38"/>
      <c r="D70" s="161" t="s">
        <v>314</v>
      </c>
      <c r="E70" s="162"/>
      <c r="G70" s="166">
        <v>43</v>
      </c>
      <c r="H70" s="166">
        <v>45</v>
      </c>
      <c r="K70" s="157">
        <v>97</v>
      </c>
      <c r="L70" s="157">
        <v>50</v>
      </c>
    </row>
    <row r="71" spans="1:21" x14ac:dyDescent="0.3">
      <c r="A71" s="307" t="s">
        <v>314</v>
      </c>
      <c r="B71" s="308"/>
      <c r="D71" s="197" t="s">
        <v>247</v>
      </c>
      <c r="E71" s="157">
        <v>0</v>
      </c>
      <c r="G71" s="157">
        <v>30</v>
      </c>
      <c r="H71" s="157">
        <v>50</v>
      </c>
      <c r="K71" s="157">
        <v>76</v>
      </c>
      <c r="L71" s="157">
        <v>60</v>
      </c>
    </row>
    <row r="72" spans="1:21" x14ac:dyDescent="0.3">
      <c r="A72" s="197" t="s">
        <v>247</v>
      </c>
      <c r="B72" s="157">
        <v>0</v>
      </c>
      <c r="D72" s="197" t="s">
        <v>245</v>
      </c>
      <c r="E72" s="157">
        <v>6</v>
      </c>
      <c r="G72" s="157">
        <v>0</v>
      </c>
      <c r="H72" s="157">
        <v>62</v>
      </c>
      <c r="I72" s="104"/>
      <c r="J72" s="104"/>
      <c r="K72" s="157">
        <v>27</v>
      </c>
      <c r="L72" s="157">
        <v>80</v>
      </c>
    </row>
    <row r="73" spans="1:21" x14ac:dyDescent="0.3">
      <c r="A73" s="197" t="s">
        <v>245</v>
      </c>
      <c r="B73" s="157">
        <v>6</v>
      </c>
      <c r="D73" s="161" t="s">
        <v>316</v>
      </c>
      <c r="E73" s="162"/>
      <c r="I73" s="136"/>
      <c r="J73" s="136"/>
      <c r="K73" s="157">
        <v>0</v>
      </c>
      <c r="L73" s="157">
        <v>90</v>
      </c>
    </row>
    <row r="74" spans="1:21" x14ac:dyDescent="0.3">
      <c r="A74" s="161" t="s">
        <v>316</v>
      </c>
      <c r="B74" s="162"/>
      <c r="D74" s="197" t="s">
        <v>247</v>
      </c>
      <c r="E74" s="157">
        <v>105</v>
      </c>
    </row>
    <row r="75" spans="1:21" x14ac:dyDescent="0.3">
      <c r="A75" s="197" t="s">
        <v>247</v>
      </c>
      <c r="B75" s="157">
        <v>105</v>
      </c>
      <c r="D75" s="197" t="s">
        <v>245</v>
      </c>
      <c r="E75" s="157">
        <v>42</v>
      </c>
      <c r="G75" s="196" t="s">
        <v>343</v>
      </c>
      <c r="H75" s="104"/>
      <c r="K75" s="196" t="s">
        <v>344</v>
      </c>
      <c r="L75" s="136"/>
    </row>
    <row r="76" spans="1:21" x14ac:dyDescent="0.3">
      <c r="A76" s="197" t="s">
        <v>245</v>
      </c>
      <c r="B76" s="157">
        <v>26</v>
      </c>
      <c r="C76" s="135"/>
      <c r="D76" s="104" t="s">
        <v>337</v>
      </c>
      <c r="E76" s="104"/>
      <c r="F76" s="136"/>
      <c r="G76" s="307" t="s">
        <v>314</v>
      </c>
      <c r="H76" s="308"/>
      <c r="K76" s="161" t="s">
        <v>314</v>
      </c>
      <c r="L76" s="162"/>
    </row>
    <row r="77" spans="1:21" x14ac:dyDescent="0.3">
      <c r="A77" s="104" t="s">
        <v>336</v>
      </c>
      <c r="C77" s="135"/>
      <c r="D77" s="136" t="e">
        <f>-(0.0019*B1^2)-(0.0964*B1)+34.467</f>
        <v>#DIV/0!</v>
      </c>
      <c r="E77" s="136" t="s">
        <v>245</v>
      </c>
      <c r="F77" s="136"/>
      <c r="G77" s="197" t="s">
        <v>247</v>
      </c>
      <c r="H77" s="157">
        <v>0</v>
      </c>
      <c r="K77" s="197" t="s">
        <v>247</v>
      </c>
      <c r="L77" s="157">
        <v>0</v>
      </c>
    </row>
    <row r="78" spans="1:21" customFormat="1" x14ac:dyDescent="0.3">
      <c r="A78" s="135" t="e">
        <f>-(0.0008*B1^2)-(0.1154*B1)+26.888</f>
        <v>#DIV/0!</v>
      </c>
      <c r="B78" s="135" t="s">
        <v>245</v>
      </c>
      <c r="E78" s="96"/>
      <c r="F78" s="96"/>
      <c r="G78" s="197" t="s">
        <v>245</v>
      </c>
      <c r="H78" s="157">
        <v>6</v>
      </c>
      <c r="I78" s="96"/>
      <c r="J78" s="96"/>
      <c r="K78" s="197" t="s">
        <v>245</v>
      </c>
      <c r="L78" s="157">
        <v>10</v>
      </c>
      <c r="M78" s="96"/>
      <c r="N78" s="96"/>
      <c r="O78" s="96"/>
      <c r="P78" s="96"/>
      <c r="Q78" s="96"/>
      <c r="R78" s="96"/>
      <c r="S78" s="96"/>
      <c r="T78" s="96"/>
      <c r="U78" s="96"/>
    </row>
    <row r="79" spans="1:21" x14ac:dyDescent="0.3">
      <c r="C79" s="134"/>
      <c r="F79" s="104"/>
      <c r="G79" s="161" t="s">
        <v>316</v>
      </c>
      <c r="H79" s="162"/>
      <c r="K79" s="161" t="s">
        <v>316</v>
      </c>
      <c r="L79" s="162"/>
    </row>
    <row r="80" spans="1:21" x14ac:dyDescent="0.3">
      <c r="C80" s="135"/>
      <c r="F80" s="136"/>
      <c r="G80" s="197" t="s">
        <v>247</v>
      </c>
      <c r="H80" s="157">
        <v>130</v>
      </c>
      <c r="K80" s="197" t="s">
        <v>247</v>
      </c>
      <c r="L80" s="157">
        <v>150</v>
      </c>
    </row>
    <row r="81" spans="1:22" x14ac:dyDescent="0.3">
      <c r="A81" s="135"/>
      <c r="G81" s="197" t="s">
        <v>245</v>
      </c>
      <c r="H81" s="157">
        <v>62</v>
      </c>
      <c r="K81" s="197" t="s">
        <v>245</v>
      </c>
      <c r="L81" s="157">
        <v>90</v>
      </c>
    </row>
    <row r="82" spans="1:22" x14ac:dyDescent="0.3">
      <c r="G82" s="104" t="s">
        <v>338</v>
      </c>
      <c r="K82" s="104" t="s">
        <v>339</v>
      </c>
    </row>
    <row r="83" spans="1:22" customFormat="1" x14ac:dyDescent="0.3">
      <c r="G83" s="136" t="e">
        <f>-(0.0015*B1^2)-(0.2549*B1)+58.9</f>
        <v>#DIV/0!</v>
      </c>
      <c r="H83" s="196" t="s">
        <v>245</v>
      </c>
      <c r="K83" s="96" t="e">
        <f>(-0.0027*B1^2)-(0.0859*B1)+83.69</f>
        <v>#DIV/0!</v>
      </c>
      <c r="L83" s="168" t="s">
        <v>245</v>
      </c>
    </row>
    <row r="84" spans="1:22" x14ac:dyDescent="0.3">
      <c r="O84" s="45"/>
    </row>
    <row r="85" spans="1:22" ht="18" x14ac:dyDescent="0.35">
      <c r="A85" s="310" t="s">
        <v>345</v>
      </c>
      <c r="B85" s="310"/>
      <c r="C85" s="310"/>
      <c r="D85" s="310"/>
      <c r="E85" s="310"/>
      <c r="F85" s="310"/>
      <c r="G85" s="310"/>
      <c r="H85" s="310"/>
      <c r="I85" s="310"/>
      <c r="J85" s="310"/>
      <c r="K85" s="310"/>
      <c r="L85" s="310"/>
      <c r="M85" s="310"/>
      <c r="N85" s="310"/>
      <c r="O85" s="310"/>
      <c r="P85" s="310"/>
      <c r="Q85" s="310"/>
      <c r="R85" s="310"/>
      <c r="S85" s="310"/>
      <c r="T85" s="310"/>
    </row>
    <row r="86" spans="1:22" x14ac:dyDescent="0.3">
      <c r="O86" s="134"/>
    </row>
    <row r="88" spans="1:22" x14ac:dyDescent="0.3">
      <c r="A88" s="196" t="s">
        <v>346</v>
      </c>
      <c r="B88" s="103" t="e">
        <f>'Calculs - Perte de charge'!C16+'Calculs - Perte de charge'!C18</f>
        <v>#DIV/0!</v>
      </c>
      <c r="C88" s="196" t="s">
        <v>18</v>
      </c>
    </row>
    <row r="89" spans="1:22" x14ac:dyDescent="0.3">
      <c r="B89" s="151" t="e">
        <f>B88*3.28</f>
        <v>#DIV/0!</v>
      </c>
      <c r="C89" s="152" t="s">
        <v>245</v>
      </c>
    </row>
    <row r="90" spans="1:22" x14ac:dyDescent="0.3">
      <c r="H90" s="196" t="s">
        <v>111</v>
      </c>
      <c r="I90" s="196"/>
      <c r="J90" s="196" t="s">
        <v>347</v>
      </c>
    </row>
    <row r="91" spans="1:22" x14ac:dyDescent="0.3">
      <c r="F91" s="303" t="s">
        <v>348</v>
      </c>
      <c r="G91" s="304"/>
    </row>
    <row r="92" spans="1:22" x14ac:dyDescent="0.3">
      <c r="B92" s="196" t="s">
        <v>349</v>
      </c>
      <c r="C92" s="196" t="s">
        <v>350</v>
      </c>
      <c r="D92" s="196" t="s">
        <v>351</v>
      </c>
      <c r="F92" s="196" t="s">
        <v>352</v>
      </c>
      <c r="G92" s="196" t="s">
        <v>353</v>
      </c>
      <c r="H92" s="196" t="s">
        <v>354</v>
      </c>
    </row>
    <row r="93" spans="1:22" x14ac:dyDescent="0.3">
      <c r="A93" s="196" t="s">
        <v>198</v>
      </c>
      <c r="B93" s="96">
        <v>-1.04E-2</v>
      </c>
      <c r="C93" s="96">
        <v>0.1091</v>
      </c>
      <c r="D93" s="103" t="e">
        <f>25.844-B89</f>
        <v>#DIV/0!</v>
      </c>
      <c r="F93" s="103" t="e">
        <f>(-C93+SQRT(ABS(C93^2-4*B93*D93)))/(2*B93)</f>
        <v>#DIV/0!</v>
      </c>
      <c r="G93" s="103" t="e">
        <f>(-C93-SQRT(ABS(C93^2-4*B93*D93)))/(2*B93)</f>
        <v>#DIV/0!</v>
      </c>
      <c r="H93" s="150" t="e">
        <f>IF(F93&lt;0,G93,F93)</f>
        <v>#DIV/0!</v>
      </c>
      <c r="J93" s="196" t="s">
        <v>311</v>
      </c>
      <c r="V93" s="196" t="s">
        <v>355</v>
      </c>
    </row>
    <row r="94" spans="1:22" x14ac:dyDescent="0.3">
      <c r="A94" s="196" t="s">
        <v>201</v>
      </c>
      <c r="B94" s="96">
        <v>-2.7000000000000001E-3</v>
      </c>
      <c r="C94" s="96">
        <v>-0.29930000000000001</v>
      </c>
      <c r="D94" s="103" t="e">
        <f>38.298-B89</f>
        <v>#DIV/0!</v>
      </c>
      <c r="F94" s="103" t="e">
        <f>(-C94+SQRT(ABS(C94^2-4*B94*D94)))/(2*B94)</f>
        <v>#DIV/0!</v>
      </c>
      <c r="G94" s="103" t="e">
        <f>(-C94-SQRT(ABS(C94^2-4*B94*D94)))/(2*B94)</f>
        <v>#DIV/0!</v>
      </c>
      <c r="H94" s="150" t="e">
        <f t="shared" ref="H94:H113" si="0">IF(F94&lt;0,G94,F94)</f>
        <v>#DIV/0!</v>
      </c>
      <c r="J94" s="196" t="s">
        <v>313</v>
      </c>
      <c r="V94" s="196" t="s">
        <v>325</v>
      </c>
    </row>
    <row r="95" spans="1:22" x14ac:dyDescent="0.3">
      <c r="A95" s="196" t="s">
        <v>204</v>
      </c>
      <c r="B95" s="96">
        <v>-1.5E-3</v>
      </c>
      <c r="C95" s="96">
        <v>-0.39129999999999998</v>
      </c>
      <c r="D95" s="103" t="e">
        <f>44.421-B89</f>
        <v>#DIV/0!</v>
      </c>
      <c r="F95" s="103" t="e">
        <f>(-C95+SQRT(ABS(C95^2-4*B95*D95)))/(2*B95)</f>
        <v>#DIV/0!</v>
      </c>
      <c r="G95" s="103" t="e">
        <f>(-C95-SQRT(ABS(C95^2-4*B95*D95)))/(2*B95)</f>
        <v>#DIV/0!</v>
      </c>
      <c r="H95" s="150" t="e">
        <f t="shared" si="0"/>
        <v>#DIV/0!</v>
      </c>
      <c r="J95" s="196" t="s">
        <v>315</v>
      </c>
      <c r="V95" s="196" t="s">
        <v>218</v>
      </c>
    </row>
    <row r="96" spans="1:22" x14ac:dyDescent="0.3">
      <c r="A96" s="196" t="s">
        <v>220</v>
      </c>
      <c r="B96" s="96">
        <v>-6.1999999999999998E-3</v>
      </c>
      <c r="C96" s="96">
        <v>-0.12609999999999999</v>
      </c>
      <c r="D96" s="103" t="e">
        <f>22.964-B89</f>
        <v>#DIV/0!</v>
      </c>
      <c r="F96" s="103" t="e">
        <f>(-C96+SQRT(ABS(C96^2-4*B96*D96)))/(2*B96)</f>
        <v>#DIV/0!</v>
      </c>
      <c r="G96" s="103" t="e">
        <f>(-C96-SQRT(ABS(C96^2-4*B96*D96)))/(2*B96)</f>
        <v>#DIV/0!</v>
      </c>
      <c r="H96" s="150" t="e">
        <f t="shared" si="0"/>
        <v>#DIV/0!</v>
      </c>
      <c r="J96" s="196" t="s">
        <v>356</v>
      </c>
      <c r="M96" s="196" t="s">
        <v>357</v>
      </c>
      <c r="V96" s="196" t="s">
        <v>209</v>
      </c>
    </row>
    <row r="97" spans="1:22" ht="16.2" x14ac:dyDescent="0.3">
      <c r="A97" s="196" t="s">
        <v>222</v>
      </c>
      <c r="B97" s="96">
        <v>-5.2999999999999999E-2</v>
      </c>
      <c r="C97" s="96">
        <v>-0.18529999999999999</v>
      </c>
      <c r="D97" s="103" t="e">
        <f>36.914-B89</f>
        <v>#DIV/0!</v>
      </c>
      <c r="F97" s="103" t="e">
        <f t="shared" ref="F97:F100" si="1">(-C97+SQRT(ABS(C97^2-4*B97*D97)))/(2*B97)</f>
        <v>#DIV/0!</v>
      </c>
      <c r="G97" s="103" t="e">
        <f t="shared" ref="G97:G100" si="2">(-C97-SQRT(ABS(C97^2-4*B97*D97)))/(2*B97)</f>
        <v>#DIV/0!</v>
      </c>
      <c r="H97" s="150" t="e">
        <f t="shared" si="0"/>
        <v>#DIV/0!</v>
      </c>
      <c r="J97" s="196" t="s">
        <v>358</v>
      </c>
      <c r="M97" s="196" t="s">
        <v>359</v>
      </c>
      <c r="V97" s="196" t="s">
        <v>232</v>
      </c>
    </row>
    <row r="98" spans="1:22" x14ac:dyDescent="0.3">
      <c r="A98" s="196" t="s">
        <v>224</v>
      </c>
      <c r="B98" s="96">
        <v>-3.8E-3</v>
      </c>
      <c r="C98" s="96">
        <v>-0.2646</v>
      </c>
      <c r="D98" s="103" t="e">
        <f>48.316-B89</f>
        <v>#DIV/0!</v>
      </c>
      <c r="F98" s="103" t="e">
        <f t="shared" si="1"/>
        <v>#DIV/0!</v>
      </c>
      <c r="G98" s="103" t="e">
        <f t="shared" si="2"/>
        <v>#DIV/0!</v>
      </c>
      <c r="H98" s="150" t="e">
        <f t="shared" si="0"/>
        <v>#DIV/0!</v>
      </c>
      <c r="J98" s="196" t="s">
        <v>360</v>
      </c>
      <c r="M98" s="196" t="s">
        <v>361</v>
      </c>
    </row>
    <row r="99" spans="1:22" s="153" customFormat="1" x14ac:dyDescent="0.3">
      <c r="A99" s="153" t="s">
        <v>362</v>
      </c>
      <c r="B99" s="153">
        <v>-3.5999999999999999E-3</v>
      </c>
      <c r="C99" s="153">
        <v>-0.2346</v>
      </c>
      <c r="D99" s="154" t="e">
        <f>54.16-B89</f>
        <v>#DIV/0!</v>
      </c>
      <c r="F99" s="154" t="e">
        <f t="shared" si="1"/>
        <v>#DIV/0!</v>
      </c>
      <c r="G99" s="154" t="e">
        <f t="shared" si="2"/>
        <v>#DIV/0!</v>
      </c>
      <c r="H99" s="150" t="e">
        <f t="shared" si="0"/>
        <v>#DIV/0!</v>
      </c>
      <c r="J99" s="153" t="s">
        <v>363</v>
      </c>
      <c r="M99" s="153" t="s">
        <v>364</v>
      </c>
    </row>
    <row r="100" spans="1:22" x14ac:dyDescent="0.3">
      <c r="A100" s="196" t="s">
        <v>323</v>
      </c>
      <c r="B100" s="96">
        <v>-1.6000000000000001E-3</v>
      </c>
      <c r="C100" s="96">
        <v>-0.36899999999999999</v>
      </c>
      <c r="D100" s="103" t="e">
        <f>73.432-B89</f>
        <v>#DIV/0!</v>
      </c>
      <c r="F100" s="103" t="e">
        <f t="shared" si="1"/>
        <v>#DIV/0!</v>
      </c>
      <c r="G100" s="103" t="e">
        <f t="shared" si="2"/>
        <v>#DIV/0!</v>
      </c>
      <c r="H100" s="150" t="e">
        <f t="shared" si="0"/>
        <v>#DIV/0!</v>
      </c>
      <c r="J100" s="196" t="s">
        <v>312</v>
      </c>
    </row>
    <row r="101" spans="1:22" x14ac:dyDescent="0.3">
      <c r="A101" s="196" t="s">
        <v>324</v>
      </c>
      <c r="B101" s="96">
        <v>-3.7000000000000002E-3</v>
      </c>
      <c r="C101" s="96">
        <v>-0.37980000000000003</v>
      </c>
      <c r="D101" s="103" t="e">
        <f>76.196-B89</f>
        <v>#DIV/0!</v>
      </c>
      <c r="F101" s="103" t="e">
        <f t="shared" ref="F101:F112" si="3">(-C101+SQRT(ABS(C101^2-4*B101*D101)))/(2*B101)</f>
        <v>#DIV/0!</v>
      </c>
      <c r="G101" s="103" t="e">
        <f t="shared" ref="G101:G112" si="4">(-C101-SQRT(ABS(C101^2-4*B101*D101)))/(2*B101)</f>
        <v>#DIV/0!</v>
      </c>
      <c r="H101" s="150" t="e">
        <f t="shared" si="0"/>
        <v>#DIV/0!</v>
      </c>
      <c r="J101" s="96" t="s">
        <v>365</v>
      </c>
    </row>
    <row r="102" spans="1:22" x14ac:dyDescent="0.3">
      <c r="A102" s="196" t="s">
        <v>325</v>
      </c>
      <c r="B102" s="96">
        <v>-7.7000000000000002E-3</v>
      </c>
      <c r="C102" s="96">
        <v>3.9399999999999998E-2</v>
      </c>
      <c r="D102" s="103" t="e">
        <f>86.082-B89</f>
        <v>#DIV/0!</v>
      </c>
      <c r="F102" s="103" t="e">
        <f t="shared" si="3"/>
        <v>#DIV/0!</v>
      </c>
      <c r="G102" s="103" t="e">
        <f t="shared" si="4"/>
        <v>#DIV/0!</v>
      </c>
      <c r="H102" s="150" t="e">
        <f t="shared" si="0"/>
        <v>#DIV/0!</v>
      </c>
      <c r="J102" s="196" t="s">
        <v>366</v>
      </c>
      <c r="M102" s="196" t="s">
        <v>367</v>
      </c>
    </row>
    <row r="103" spans="1:22" ht="16.2" x14ac:dyDescent="0.3">
      <c r="A103" s="196" t="s">
        <v>326</v>
      </c>
      <c r="B103" s="96">
        <v>-2E-3</v>
      </c>
      <c r="C103" s="96">
        <v>-0.54690000000000005</v>
      </c>
      <c r="D103" s="103" t="e">
        <f>108.48-B89</f>
        <v>#DIV/0!</v>
      </c>
      <c r="F103" s="103" t="e">
        <f t="shared" si="3"/>
        <v>#DIV/0!</v>
      </c>
      <c r="G103" s="103" t="e">
        <f t="shared" si="4"/>
        <v>#DIV/0!</v>
      </c>
      <c r="H103" s="150" t="e">
        <f t="shared" si="0"/>
        <v>#DIV/0!</v>
      </c>
      <c r="J103" t="s">
        <v>368</v>
      </c>
      <c r="M103" s="196" t="s">
        <v>369</v>
      </c>
    </row>
    <row r="104" spans="1:22" x14ac:dyDescent="0.3">
      <c r="A104" s="196" t="s">
        <v>327</v>
      </c>
      <c r="B104" s="96">
        <v>-5.4999999999999997E-3</v>
      </c>
      <c r="C104" s="96">
        <v>-0.38600000000000001</v>
      </c>
      <c r="D104" s="103" t="e">
        <f>130.35-B89</f>
        <v>#DIV/0!</v>
      </c>
      <c r="F104" s="103" t="e">
        <f t="shared" ref="F104" si="5">(-C104+SQRT(ABS(C104^2-4*B104*D104)))/(2*B104)</f>
        <v>#DIV/0!</v>
      </c>
      <c r="G104" s="103" t="e">
        <f t="shared" ref="G104" si="6">(-C104-SQRT(ABS(C104^2-4*B104*D104)))/(2*B104)</f>
        <v>#DIV/0!</v>
      </c>
      <c r="H104" s="150" t="e">
        <f t="shared" ref="H104" si="7">IF(F104&lt;0,G104,F104)</f>
        <v>#DIV/0!</v>
      </c>
      <c r="J104" s="45" t="s">
        <v>335</v>
      </c>
    </row>
    <row r="105" spans="1:22" x14ac:dyDescent="0.3">
      <c r="A105" s="196" t="s">
        <v>206</v>
      </c>
      <c r="B105" s="96">
        <v>-1.6000000000000001E-3</v>
      </c>
      <c r="C105" s="96">
        <v>-0.36899999999999999</v>
      </c>
      <c r="D105" s="103" t="e">
        <f>73.432-B89</f>
        <v>#DIV/0!</v>
      </c>
      <c r="F105" s="103" t="e">
        <f t="shared" si="3"/>
        <v>#DIV/0!</v>
      </c>
      <c r="G105" s="103" t="e">
        <f>(-C105-SQRT(ABS(C105^2-4*B105*D105)))/(2*B105)</f>
        <v>#DIV/0!</v>
      </c>
      <c r="H105" s="150" t="e">
        <f t="shared" si="0"/>
        <v>#DIV/0!</v>
      </c>
      <c r="J105" s="96" t="s">
        <v>312</v>
      </c>
    </row>
    <row r="106" spans="1:22" ht="16.2" x14ac:dyDescent="0.3">
      <c r="A106" s="196" t="s">
        <v>209</v>
      </c>
      <c r="B106" s="96">
        <v>-7.3000000000000001E-3</v>
      </c>
      <c r="C106" s="96">
        <v>-0.41389999999999999</v>
      </c>
      <c r="D106" s="103" t="e">
        <f>110.47-B89</f>
        <v>#DIV/0!</v>
      </c>
      <c r="F106" s="103" t="e">
        <f t="shared" ref="F106" si="8">(-C106+SQRT(ABS(C106^2-4*B106*D106)))/(2*B106)</f>
        <v>#DIV/0!</v>
      </c>
      <c r="G106" s="103" t="e">
        <f t="shared" ref="G106" si="9">(-C106-SQRT(ABS(C106^2-4*B106*D106)))/(2*B106)</f>
        <v>#DIV/0!</v>
      </c>
      <c r="H106" s="150" t="e">
        <f t="shared" ref="H106" si="10">IF(F106&lt;0,G106,F106)</f>
        <v>#DIV/0!</v>
      </c>
      <c r="J106" s="45" t="s">
        <v>319</v>
      </c>
    </row>
    <row r="107" spans="1:22" x14ac:dyDescent="0.3">
      <c r="A107" s="196" t="s">
        <v>212</v>
      </c>
      <c r="B107" s="96">
        <v>-2.3E-3</v>
      </c>
      <c r="C107" s="96">
        <v>-0.25140000000000001</v>
      </c>
      <c r="D107" s="103" t="e">
        <f>89.678-B89</f>
        <v>#DIV/0!</v>
      </c>
      <c r="F107" s="103" t="e">
        <f t="shared" si="3"/>
        <v>#DIV/0!</v>
      </c>
      <c r="G107" s="103" t="e">
        <f t="shared" si="4"/>
        <v>#DIV/0!</v>
      </c>
      <c r="H107" s="150" t="e">
        <f t="shared" si="0"/>
        <v>#DIV/0!</v>
      </c>
      <c r="J107" s="45" t="s">
        <v>317</v>
      </c>
    </row>
    <row r="108" spans="1:22" x14ac:dyDescent="0.3">
      <c r="A108" s="196" t="s">
        <v>215</v>
      </c>
      <c r="B108" s="96">
        <f>-0.0024</f>
        <v>-2.3999999999999998E-3</v>
      </c>
      <c r="C108" s="96">
        <v>-0.33989999999999998</v>
      </c>
      <c r="D108" s="103" t="e">
        <f>105.2-B89</f>
        <v>#DIV/0!</v>
      </c>
      <c r="F108" s="103" t="e">
        <f t="shared" si="3"/>
        <v>#DIV/0!</v>
      </c>
      <c r="G108" s="103" t="e">
        <f t="shared" si="4"/>
        <v>#DIV/0!</v>
      </c>
      <c r="H108" s="150" t="e">
        <f t="shared" si="0"/>
        <v>#DIV/0!</v>
      </c>
      <c r="J108" s="196" t="s">
        <v>318</v>
      </c>
    </row>
    <row r="109" spans="1:22" ht="16.2" x14ac:dyDescent="0.3">
      <c r="A109" s="196" t="s">
        <v>218</v>
      </c>
      <c r="B109" s="96">
        <v>-8.6999999999999994E-3</v>
      </c>
      <c r="C109" s="96">
        <v>-0.61460000000000004</v>
      </c>
      <c r="D109" s="103" t="e">
        <f>136.29-B89</f>
        <v>#DIV/0!</v>
      </c>
      <c r="F109" s="103" t="e">
        <f t="shared" ref="F109" si="11">(-C109+SQRT(ABS(C109^2-4*B109*D109)))/(2*B109)</f>
        <v>#DIV/0!</v>
      </c>
      <c r="G109" s="103" t="e">
        <f t="shared" ref="G109" si="12">(-C109-SQRT(ABS(C109^2-4*B109*D109)))/(2*B109)</f>
        <v>#DIV/0!</v>
      </c>
      <c r="H109" s="150" t="e">
        <f t="shared" ref="H109" si="13">IF(F109&lt;0,G109,F109)</f>
        <v>#DIV/0!</v>
      </c>
      <c r="J109" s="45" t="s">
        <v>320</v>
      </c>
    </row>
    <row r="110" spans="1:22" x14ac:dyDescent="0.3">
      <c r="A110" s="199" t="s">
        <v>336</v>
      </c>
      <c r="B110" s="96">
        <f>-0.0008</f>
        <v>-8.0000000000000004E-4</v>
      </c>
      <c r="C110" s="96">
        <v>-0.1154</v>
      </c>
      <c r="D110" s="103" t="e">
        <f>26.888-B89</f>
        <v>#DIV/0!</v>
      </c>
      <c r="F110" s="103" t="e">
        <f t="shared" si="3"/>
        <v>#DIV/0!</v>
      </c>
      <c r="G110" s="103" t="e">
        <f t="shared" si="4"/>
        <v>#DIV/0!</v>
      </c>
      <c r="H110" s="150" t="e">
        <f t="shared" si="0"/>
        <v>#DIV/0!</v>
      </c>
      <c r="J110" s="196" t="s">
        <v>342</v>
      </c>
    </row>
    <row r="111" spans="1:22" x14ac:dyDescent="0.3">
      <c r="A111" s="199" t="s">
        <v>337</v>
      </c>
      <c r="B111" s="96">
        <v>-1.9E-3</v>
      </c>
      <c r="C111" s="96">
        <v>-9.64E-2</v>
      </c>
      <c r="D111" s="103" t="e">
        <f>34.467-B89</f>
        <v>#DIV/0!</v>
      </c>
      <c r="F111" s="103" t="e">
        <f t="shared" si="3"/>
        <v>#DIV/0!</v>
      </c>
      <c r="G111" s="103" t="e">
        <f t="shared" si="4"/>
        <v>#DIV/0!</v>
      </c>
      <c r="H111" s="150" t="e">
        <f t="shared" si="0"/>
        <v>#DIV/0!</v>
      </c>
      <c r="J111" s="196" t="s">
        <v>341</v>
      </c>
    </row>
    <row r="112" spans="1:22" x14ac:dyDescent="0.3">
      <c r="A112" s="199" t="s">
        <v>338</v>
      </c>
      <c r="B112" s="96">
        <v>-1.5E-3</v>
      </c>
      <c r="C112" s="96">
        <v>-0.25490000000000002</v>
      </c>
      <c r="D112" s="103" t="e">
        <f>58.9-$B$89</f>
        <v>#DIV/0!</v>
      </c>
      <c r="F112" s="103" t="e">
        <f t="shared" si="3"/>
        <v>#DIV/0!</v>
      </c>
      <c r="G112" s="103" t="e">
        <f t="shared" si="4"/>
        <v>#DIV/0!</v>
      </c>
      <c r="H112" s="150" t="e">
        <f t="shared" si="0"/>
        <v>#DIV/0!</v>
      </c>
      <c r="J112" s="196" t="s">
        <v>343</v>
      </c>
    </row>
    <row r="113" spans="1:10" x14ac:dyDescent="0.3">
      <c r="A113" s="199" t="s">
        <v>339</v>
      </c>
      <c r="B113" s="153">
        <v>-2.7000000000000001E-3</v>
      </c>
      <c r="C113" s="153">
        <v>-8.5900000000000004E-2</v>
      </c>
      <c r="D113" s="103" t="e">
        <f>83.69-$B$89</f>
        <v>#DIV/0!</v>
      </c>
      <c r="F113" s="103" t="e">
        <f t="shared" ref="F113" si="14">(-C113+SQRT(ABS(C113^2-4*B113*D113)))/(2*B113)</f>
        <v>#DIV/0!</v>
      </c>
      <c r="G113" s="103" t="e">
        <f t="shared" ref="G113" si="15">(-C113-SQRT(ABS(C113^2-4*B113*D113)))/(2*B113)</f>
        <v>#DIV/0!</v>
      </c>
      <c r="H113" s="150" t="e">
        <f t="shared" si="0"/>
        <v>#DIV/0!</v>
      </c>
      <c r="J113" s="196" t="s">
        <v>344</v>
      </c>
    </row>
    <row r="116" spans="1:10" x14ac:dyDescent="0.3">
      <c r="B116" s="196" t="s">
        <v>370</v>
      </c>
    </row>
    <row r="117" spans="1:10" x14ac:dyDescent="0.3">
      <c r="A117" s="196" t="s">
        <v>198</v>
      </c>
      <c r="B117" s="150" t="e">
        <f>H93</f>
        <v>#DIV/0!</v>
      </c>
      <c r="E117" s="70"/>
    </row>
    <row r="118" spans="1:10" x14ac:dyDescent="0.3">
      <c r="A118" s="196" t="s">
        <v>201</v>
      </c>
      <c r="B118" s="150" t="e">
        <f t="shared" ref="B118:B137" si="16">H94</f>
        <v>#DIV/0!</v>
      </c>
      <c r="E118" s="70"/>
    </row>
    <row r="119" spans="1:10" x14ac:dyDescent="0.3">
      <c r="A119" s="196" t="s">
        <v>204</v>
      </c>
      <c r="B119" s="150" t="e">
        <f t="shared" si="16"/>
        <v>#DIV/0!</v>
      </c>
    </row>
    <row r="120" spans="1:10" x14ac:dyDescent="0.3">
      <c r="A120" s="196" t="s">
        <v>220</v>
      </c>
      <c r="B120" s="150" t="e">
        <f t="shared" si="16"/>
        <v>#DIV/0!</v>
      </c>
      <c r="E120" s="70"/>
    </row>
    <row r="121" spans="1:10" x14ac:dyDescent="0.3">
      <c r="A121" s="196" t="s">
        <v>222</v>
      </c>
      <c r="B121" s="150" t="e">
        <f t="shared" si="16"/>
        <v>#DIV/0!</v>
      </c>
      <c r="E121" s="70"/>
    </row>
    <row r="122" spans="1:10" x14ac:dyDescent="0.3">
      <c r="A122" s="196" t="s">
        <v>224</v>
      </c>
      <c r="B122" s="150" t="e">
        <f t="shared" si="16"/>
        <v>#DIV/0!</v>
      </c>
      <c r="E122" s="70"/>
    </row>
    <row r="123" spans="1:10" x14ac:dyDescent="0.3">
      <c r="A123" s="70" t="s">
        <v>226</v>
      </c>
      <c r="B123" s="150" t="e">
        <f t="shared" si="16"/>
        <v>#DIV/0!</v>
      </c>
    </row>
    <row r="124" spans="1:10" x14ac:dyDescent="0.3">
      <c r="A124" s="173" t="s">
        <v>227</v>
      </c>
      <c r="B124" s="150" t="e">
        <f t="shared" si="16"/>
        <v>#DIV/0!</v>
      </c>
      <c r="E124" s="70"/>
    </row>
    <row r="125" spans="1:10" x14ac:dyDescent="0.3">
      <c r="A125" s="173" t="s">
        <v>228</v>
      </c>
      <c r="B125" s="150" t="e">
        <f t="shared" si="16"/>
        <v>#DIV/0!</v>
      </c>
    </row>
    <row r="126" spans="1:10" x14ac:dyDescent="0.3">
      <c r="A126" s="173" t="s">
        <v>230</v>
      </c>
      <c r="B126" s="150" t="e">
        <f t="shared" si="16"/>
        <v>#DIV/0!</v>
      </c>
    </row>
    <row r="127" spans="1:10" x14ac:dyDescent="0.3">
      <c r="A127" s="173" t="s">
        <v>231</v>
      </c>
      <c r="B127" s="150" t="e">
        <f t="shared" si="16"/>
        <v>#DIV/0!</v>
      </c>
    </row>
    <row r="128" spans="1:10" x14ac:dyDescent="0.3">
      <c r="A128" s="173" t="s">
        <v>232</v>
      </c>
      <c r="B128" s="150" t="e">
        <f t="shared" si="16"/>
        <v>#DIV/0!</v>
      </c>
    </row>
    <row r="129" spans="1:5" x14ac:dyDescent="0.3">
      <c r="A129" s="196" t="s">
        <v>206</v>
      </c>
      <c r="B129" s="150" t="e">
        <f t="shared" si="16"/>
        <v>#DIV/0!</v>
      </c>
    </row>
    <row r="130" spans="1:5" x14ac:dyDescent="0.3">
      <c r="A130" s="196" t="s">
        <v>209</v>
      </c>
      <c r="B130" s="150" t="e">
        <f t="shared" si="16"/>
        <v>#DIV/0!</v>
      </c>
    </row>
    <row r="131" spans="1:5" x14ac:dyDescent="0.3">
      <c r="A131" s="196" t="s">
        <v>212</v>
      </c>
      <c r="B131" s="150" t="e">
        <f t="shared" si="16"/>
        <v>#DIV/0!</v>
      </c>
    </row>
    <row r="132" spans="1:5" x14ac:dyDescent="0.3">
      <c r="A132" s="196" t="s">
        <v>215</v>
      </c>
      <c r="B132" s="150" t="e">
        <f t="shared" si="16"/>
        <v>#DIV/0!</v>
      </c>
    </row>
    <row r="133" spans="1:5" x14ac:dyDescent="0.3">
      <c r="A133" s="196" t="s">
        <v>218</v>
      </c>
      <c r="B133" s="150" t="e">
        <f t="shared" si="16"/>
        <v>#DIV/0!</v>
      </c>
      <c r="E133" s="173"/>
    </row>
    <row r="134" spans="1:5" x14ac:dyDescent="0.3">
      <c r="A134" s="70" t="s">
        <v>240</v>
      </c>
      <c r="B134" s="150" t="e">
        <f t="shared" si="16"/>
        <v>#DIV/0!</v>
      </c>
      <c r="E134" s="173"/>
    </row>
    <row r="135" spans="1:5" x14ac:dyDescent="0.3">
      <c r="A135" s="70" t="s">
        <v>235</v>
      </c>
      <c r="B135" s="150" t="e">
        <f t="shared" si="16"/>
        <v>#DIV/0!</v>
      </c>
      <c r="E135" s="173"/>
    </row>
    <row r="136" spans="1:5" x14ac:dyDescent="0.3">
      <c r="A136" s="70" t="s">
        <v>237</v>
      </c>
      <c r="B136" s="150" t="e">
        <f t="shared" si="16"/>
        <v>#DIV/0!</v>
      </c>
      <c r="E136" s="173"/>
    </row>
    <row r="137" spans="1:5" x14ac:dyDescent="0.3">
      <c r="A137" s="70" t="s">
        <v>238</v>
      </c>
      <c r="B137" s="150" t="e">
        <f t="shared" si="16"/>
        <v>#DIV/0!</v>
      </c>
      <c r="E137" s="173"/>
    </row>
  </sheetData>
  <mergeCells count="46">
    <mergeCell ref="Y52:Z52"/>
    <mergeCell ref="J3:K3"/>
    <mergeCell ref="M3:N3"/>
    <mergeCell ref="P3:Q3"/>
    <mergeCell ref="S3:T3"/>
    <mergeCell ref="V3:W3"/>
    <mergeCell ref="Y31:Z31"/>
    <mergeCell ref="Y49:Z49"/>
    <mergeCell ref="A60:B60"/>
    <mergeCell ref="D60:E60"/>
    <mergeCell ref="G60:H60"/>
    <mergeCell ref="K60:L60"/>
    <mergeCell ref="G76:H76"/>
    <mergeCell ref="G16:H16"/>
    <mergeCell ref="G19:H19"/>
    <mergeCell ref="S47:T47"/>
    <mergeCell ref="S50:T50"/>
    <mergeCell ref="V47:W47"/>
    <mergeCell ref="V50:W50"/>
    <mergeCell ref="S31:T31"/>
    <mergeCell ref="V31:W31"/>
    <mergeCell ref="M31:N31"/>
    <mergeCell ref="M47:N47"/>
    <mergeCell ref="G47:H47"/>
    <mergeCell ref="M50:N50"/>
    <mergeCell ref="A41:B41"/>
    <mergeCell ref="A44:B44"/>
    <mergeCell ref="D43:E43"/>
    <mergeCell ref="D46:E46"/>
    <mergeCell ref="G44:H44"/>
    <mergeCell ref="F91:G91"/>
    <mergeCell ref="A3:B3"/>
    <mergeCell ref="D3:E3"/>
    <mergeCell ref="D14:E14"/>
    <mergeCell ref="D17:E17"/>
    <mergeCell ref="A13:B13"/>
    <mergeCell ref="A16:B16"/>
    <mergeCell ref="G3:H3"/>
    <mergeCell ref="A31:B31"/>
    <mergeCell ref="D31:E31"/>
    <mergeCell ref="G31:H31"/>
    <mergeCell ref="A85:T85"/>
    <mergeCell ref="P31:Q31"/>
    <mergeCell ref="P46:Q46"/>
    <mergeCell ref="P49:Q49"/>
    <mergeCell ref="A71:B71"/>
  </mergeCells>
  <phoneticPr fontId="56"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F5A56-221E-4185-8EE9-AE99D9307EFD}">
  <dimension ref="A1:K40"/>
  <sheetViews>
    <sheetView workbookViewId="0">
      <selection activeCell="B15" sqref="B15"/>
    </sheetView>
  </sheetViews>
  <sheetFormatPr defaultColWidth="11.44140625" defaultRowHeight="13.2" x14ac:dyDescent="0.25"/>
  <cols>
    <col min="1" max="1" width="22.5546875" customWidth="1"/>
    <col min="2" max="2" width="16.44140625" customWidth="1"/>
    <col min="8" max="8" width="29.88671875" customWidth="1"/>
    <col min="9" max="9" width="13.44140625" customWidth="1"/>
    <col min="10" max="10" width="21.109375" customWidth="1"/>
  </cols>
  <sheetData>
    <row r="1" spans="1:10" ht="27" thickBot="1" x14ac:dyDescent="0.3">
      <c r="A1" s="45" t="s">
        <v>371</v>
      </c>
      <c r="B1" s="175" t="s">
        <v>372</v>
      </c>
      <c r="C1" s="45" t="s">
        <v>373</v>
      </c>
      <c r="D1" s="45" t="s">
        <v>374</v>
      </c>
      <c r="E1" s="45" t="s">
        <v>375</v>
      </c>
      <c r="F1" s="45" t="s">
        <v>376</v>
      </c>
      <c r="G1" s="175" t="s">
        <v>377</v>
      </c>
      <c r="H1" s="45" t="s">
        <v>378</v>
      </c>
      <c r="I1" s="45" t="s">
        <v>379</v>
      </c>
      <c r="J1" s="45" t="s">
        <v>380</v>
      </c>
    </row>
    <row r="2" spans="1:10" ht="14.4" x14ac:dyDescent="0.3">
      <c r="A2" s="74" t="s">
        <v>220</v>
      </c>
      <c r="B2" s="70"/>
      <c r="H2" s="45" t="s">
        <v>356</v>
      </c>
      <c r="I2" s="45" t="s">
        <v>381</v>
      </c>
    </row>
    <row r="3" spans="1:10" ht="14.4" x14ac:dyDescent="0.3">
      <c r="A3" s="76" t="s">
        <v>198</v>
      </c>
      <c r="B3" s="70"/>
      <c r="H3" s="196" t="s">
        <v>382</v>
      </c>
      <c r="I3" s="196" t="s">
        <v>383</v>
      </c>
    </row>
    <row r="4" spans="1:10" ht="14.4" x14ac:dyDescent="0.3">
      <c r="A4" s="76" t="s">
        <v>240</v>
      </c>
      <c r="B4" s="70"/>
      <c r="H4" s="45" t="s">
        <v>384</v>
      </c>
      <c r="I4" s="45" t="s">
        <v>385</v>
      </c>
    </row>
    <row r="5" spans="1:10" ht="14.4" x14ac:dyDescent="0.3">
      <c r="A5" s="76" t="s">
        <v>222</v>
      </c>
      <c r="B5" s="70"/>
      <c r="H5" s="45" t="s">
        <v>386</v>
      </c>
      <c r="I5" s="45" t="s">
        <v>381</v>
      </c>
    </row>
    <row r="6" spans="1:10" ht="15" customHeight="1" x14ac:dyDescent="0.3">
      <c r="A6" s="76" t="s">
        <v>201</v>
      </c>
      <c r="B6" s="70"/>
      <c r="H6" s="45" t="s">
        <v>387</v>
      </c>
      <c r="I6" s="45" t="s">
        <v>388</v>
      </c>
    </row>
    <row r="7" spans="1:10" ht="14.4" x14ac:dyDescent="0.3">
      <c r="A7" s="76" t="s">
        <v>204</v>
      </c>
      <c r="B7" s="70"/>
      <c r="H7" s="45" t="s">
        <v>389</v>
      </c>
      <c r="I7" s="45" t="s">
        <v>390</v>
      </c>
    </row>
    <row r="8" spans="1:10" ht="14.4" x14ac:dyDescent="0.3">
      <c r="A8" s="76" t="s">
        <v>235</v>
      </c>
      <c r="B8" s="70"/>
      <c r="H8" s="45" t="s">
        <v>391</v>
      </c>
      <c r="I8" s="45" t="s">
        <v>392</v>
      </c>
    </row>
    <row r="9" spans="1:10" ht="14.4" x14ac:dyDescent="0.3">
      <c r="A9" s="76" t="s">
        <v>224</v>
      </c>
      <c r="B9" s="70"/>
    </row>
    <row r="10" spans="1:10" ht="14.4" x14ac:dyDescent="0.3">
      <c r="A10" s="76" t="s">
        <v>226</v>
      </c>
      <c r="B10" s="176" t="e">
        <f>'Courbes de pompes'!J51</f>
        <v>#DIV/0!</v>
      </c>
      <c r="C10">
        <f>'Courbes de pompes'!K48</f>
        <v>90</v>
      </c>
      <c r="D10">
        <f>'Courbes de pompes'!K45</f>
        <v>0</v>
      </c>
      <c r="E10">
        <f>'Courbes de pompes'!K49</f>
        <v>55</v>
      </c>
      <c r="F10">
        <f>'Courbes de pompes'!K45</f>
        <v>0</v>
      </c>
    </row>
    <row r="11" spans="1:10" ht="14.4" x14ac:dyDescent="0.3">
      <c r="A11" s="76" t="s">
        <v>237</v>
      </c>
      <c r="B11" s="176" t="e">
        <f>'Courbes de pompes'!G83</f>
        <v>#DIV/0!</v>
      </c>
      <c r="C11">
        <f>'Courbes de pompes'!H80</f>
        <v>130</v>
      </c>
      <c r="D11">
        <f>'Courbes de pompes'!H77</f>
        <v>0</v>
      </c>
      <c r="E11">
        <f>'Courbes de pompes'!H81</f>
        <v>62</v>
      </c>
      <c r="F11">
        <f>'Courbes de pompes'!H78</f>
        <v>6</v>
      </c>
    </row>
    <row r="12" spans="1:10" ht="14.4" x14ac:dyDescent="0.3">
      <c r="A12" s="76" t="s">
        <v>238</v>
      </c>
      <c r="B12" s="176" t="e">
        <f>'Courbes de pompes'!K83</f>
        <v>#DIV/0!</v>
      </c>
      <c r="C12">
        <f>'Courbes de pompes'!L80</f>
        <v>150</v>
      </c>
      <c r="D12">
        <f>'Courbes de pompes'!L77</f>
        <v>0</v>
      </c>
      <c r="E12">
        <f>'Courbes de pompes'!L81</f>
        <v>90</v>
      </c>
      <c r="F12">
        <f>'Courbes de pompes'!L78</f>
        <v>10</v>
      </c>
    </row>
    <row r="13" spans="1:10" ht="14.4" x14ac:dyDescent="0.3">
      <c r="A13" s="80" t="s">
        <v>227</v>
      </c>
      <c r="B13" s="177" t="e">
        <f>'Courbes de pompes'!M54</f>
        <v>#DIV/0!</v>
      </c>
      <c r="C13">
        <f>'Courbes de pompes'!N51</f>
        <v>95</v>
      </c>
      <c r="D13">
        <f>'Courbes de pompes'!N48</f>
        <v>0</v>
      </c>
      <c r="E13">
        <f>'Courbes de pompes'!N52</f>
        <v>65</v>
      </c>
      <c r="F13">
        <f>'Courbes de pompes'!N49</f>
        <v>5</v>
      </c>
    </row>
    <row r="14" spans="1:10" ht="14.4" x14ac:dyDescent="0.3">
      <c r="A14" s="80" t="s">
        <v>228</v>
      </c>
      <c r="B14" s="177" t="e">
        <f>'Courbes de pompes'!P53</f>
        <v>#DIV/0!</v>
      </c>
      <c r="C14">
        <f>'Courbes de pompes'!Q50</f>
        <v>95</v>
      </c>
      <c r="D14">
        <f>'Courbes de pompes'!Q47</f>
        <v>0</v>
      </c>
      <c r="E14">
        <f>'Courbes de pompes'!Q51</f>
        <v>77</v>
      </c>
      <c r="F14">
        <f>'Courbes de pompes'!Q48</f>
        <v>7</v>
      </c>
    </row>
    <row r="15" spans="1:10" ht="14.4" x14ac:dyDescent="0.3">
      <c r="A15" s="80" t="s">
        <v>230</v>
      </c>
      <c r="B15" s="177" t="e">
        <f>'Courbes de pompes'!S54</f>
        <v>#DIV/0!</v>
      </c>
      <c r="C15">
        <f>'Courbes de pompes'!T51</f>
        <v>107</v>
      </c>
      <c r="D15">
        <f>'Courbes de pompes'!T48</f>
        <v>0</v>
      </c>
      <c r="E15">
        <f>'Courbes de pompes'!T52</f>
        <v>90</v>
      </c>
      <c r="F15">
        <f>'Courbes de pompes'!T49</f>
        <v>0</v>
      </c>
    </row>
    <row r="16" spans="1:10" ht="14.4" x14ac:dyDescent="0.3">
      <c r="A16" s="80" t="s">
        <v>231</v>
      </c>
      <c r="B16" s="177" t="e">
        <f>'Courbes de pompes'!V54</f>
        <v>#DIV/0!</v>
      </c>
      <c r="C16">
        <f>'Courbes de pompes'!W51</f>
        <v>130</v>
      </c>
      <c r="D16">
        <f>'Courbes de pompes'!W48</f>
        <v>0</v>
      </c>
      <c r="E16">
        <f>'Courbes de pompes'!W52</f>
        <v>110</v>
      </c>
      <c r="F16">
        <f>'Courbes de pompes'!W49</f>
        <v>0</v>
      </c>
    </row>
    <row r="17" spans="1:10" ht="14.4" x14ac:dyDescent="0.3">
      <c r="A17" s="80" t="s">
        <v>232</v>
      </c>
      <c r="B17" s="177" t="e">
        <f>'Courbes de pompes'!Y56</f>
        <v>#DIV/0!</v>
      </c>
      <c r="C17">
        <f>'Courbes de pompes'!Z53</f>
        <v>102</v>
      </c>
      <c r="D17">
        <f>'Courbes de pompes'!Z50</f>
        <v>0</v>
      </c>
      <c r="E17">
        <f>'Courbes de pompes'!Z54</f>
        <v>132</v>
      </c>
      <c r="F17">
        <f>'Courbes de pompes'!Z51</f>
        <v>0</v>
      </c>
    </row>
    <row r="18" spans="1:10" ht="14.4" x14ac:dyDescent="0.3">
      <c r="A18" s="80" t="s">
        <v>206</v>
      </c>
      <c r="B18" s="177" t="e">
        <f>'Courbes de pompes'!J19</f>
        <v>#DIV/0!</v>
      </c>
      <c r="C18">
        <f>'Courbes de pompes'!K16</f>
        <v>85</v>
      </c>
      <c r="D18">
        <f>'Courbes de pompes'!K13</f>
        <v>0</v>
      </c>
      <c r="E18">
        <f>'Courbes de pompes'!K17</f>
        <v>73</v>
      </c>
      <c r="F18">
        <f>'Courbes de pompes'!K14</f>
        <v>30</v>
      </c>
      <c r="H18" s="45" t="s">
        <v>393</v>
      </c>
      <c r="I18" s="45" t="s">
        <v>390</v>
      </c>
    </row>
    <row r="19" spans="1:10" ht="14.4" x14ac:dyDescent="0.3">
      <c r="A19" s="80" t="s">
        <v>209</v>
      </c>
      <c r="B19" s="177" t="e">
        <f>'Courbes de pompes'!M26</f>
        <v>#DIV/0!</v>
      </c>
      <c r="C19">
        <f>'Courbes de pompes'!N23</f>
        <v>58</v>
      </c>
      <c r="D19">
        <f>'Courbes de pompes'!N20</f>
        <v>0</v>
      </c>
      <c r="E19">
        <f>'Courbes de pompes'!N24</f>
        <v>112</v>
      </c>
      <c r="F19">
        <f>'Courbes de pompes'!N21</f>
        <v>5</v>
      </c>
    </row>
    <row r="20" spans="1:10" ht="14.4" x14ac:dyDescent="0.3">
      <c r="A20" s="80" t="s">
        <v>212</v>
      </c>
      <c r="B20" s="177" t="e">
        <f>'Courbes de pompes'!P24</f>
        <v>#DIV/0!</v>
      </c>
      <c r="C20">
        <f>'Courbes de pompes'!Q21</f>
        <v>145</v>
      </c>
      <c r="D20">
        <f>'Courbes de pompes'!Q18</f>
        <v>0</v>
      </c>
      <c r="E20">
        <f>'Courbes de pompes'!Q22</f>
        <v>91</v>
      </c>
      <c r="F20">
        <f>'Courbes de pompes'!Q19</f>
        <v>5</v>
      </c>
      <c r="H20" s="45" t="s">
        <v>394</v>
      </c>
      <c r="I20" s="45" t="s">
        <v>395</v>
      </c>
    </row>
    <row r="21" spans="1:10" ht="16.2" x14ac:dyDescent="0.3">
      <c r="A21" s="80" t="s">
        <v>215</v>
      </c>
      <c r="B21" s="177" t="e">
        <f>'Courbes de pompes'!S25</f>
        <v>#DIV/0!</v>
      </c>
      <c r="C21">
        <f>'Courbes de pompes'!T22</f>
        <v>145</v>
      </c>
      <c r="D21">
        <f>'Courbes de pompes'!T19</f>
        <v>0</v>
      </c>
      <c r="E21">
        <f>'Courbes de pompes'!T23</f>
        <v>110</v>
      </c>
      <c r="F21">
        <f>'Courbes de pompes'!T20</f>
        <v>5</v>
      </c>
      <c r="H21" s="45" t="s">
        <v>396</v>
      </c>
      <c r="I21" s="45" t="s">
        <v>397</v>
      </c>
    </row>
    <row r="22" spans="1:10" ht="15" thickBot="1" x14ac:dyDescent="0.35">
      <c r="A22" s="174" t="s">
        <v>218</v>
      </c>
      <c r="B22" s="173"/>
    </row>
    <row r="24" spans="1:10" x14ac:dyDescent="0.25">
      <c r="J24" s="45"/>
    </row>
    <row r="30" spans="1:10" x14ac:dyDescent="0.25">
      <c r="J30" s="45"/>
    </row>
    <row r="40" spans="11:11" x14ac:dyDescent="0.25">
      <c r="K40" s="4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E48B642488B4BA352CD2E6624428F" ma:contentTypeVersion="15" ma:contentTypeDescription="Crée un document." ma:contentTypeScope="" ma:versionID="31a69c840c4b2ac0bc0387a12bc61a6d">
  <xsd:schema xmlns:xsd="http://www.w3.org/2001/XMLSchema" xmlns:xs="http://www.w3.org/2001/XMLSchema" xmlns:p="http://schemas.microsoft.com/office/2006/metadata/properties" xmlns:ns2="5afb5963-748f-4c93-8110-d37fdc1dce77" xmlns:ns3="ab260464-2f3d-4f63-9a2c-fc58d74488d2" targetNamespace="http://schemas.microsoft.com/office/2006/metadata/properties" ma:root="true" ma:fieldsID="a1908a9e24b059b78371dfa298986a35" ns2:_="" ns3:_="">
    <xsd:import namespace="5afb5963-748f-4c93-8110-d37fdc1dce77"/>
    <xsd:import namespace="ab260464-2f3d-4f63-9a2c-fc58d74488d2"/>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b5963-748f-4c93-8110-d37fdc1dc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93e6f1de-e3d8-47b6-9eef-e6c6289b2a3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0464-2f3d-4f63-9a2c-fc58d74488d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5eeea3-2006-4b31-8f79-a3882a45c414}" ma:internalName="TaxCatchAll" ma:showField="CatchAllData" ma:web="ab260464-2f3d-4f63-9a2c-fc58d74488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260464-2f3d-4f63-9a2c-fc58d74488d2" xsi:nil="true"/>
    <lcf76f155ced4ddcb4097134ff3c332f xmlns="5afb5963-748f-4c93-8110-d37fdc1dce7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FA051B-2D9B-41F9-98AC-2CE614797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fb5963-748f-4c93-8110-d37fdc1dce77"/>
    <ds:schemaRef ds:uri="ab260464-2f3d-4f63-9a2c-fc58d7448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AEE22A-CCEF-4848-AD77-B8EF5504003A}">
  <ds:schemaRefs>
    <ds:schemaRef ds:uri="http://schemas.microsoft.com/office/2006/documentManagement/types"/>
    <ds:schemaRef ds:uri="http://schemas.openxmlformats.org/package/2006/metadata/core-properties"/>
    <ds:schemaRef ds:uri="ab260464-2f3d-4f63-9a2c-fc58d74488d2"/>
    <ds:schemaRef ds:uri="http://purl.org/dc/elements/1.1/"/>
    <ds:schemaRef ds:uri="http://schemas.microsoft.com/office/2006/metadata/properties"/>
    <ds:schemaRef ds:uri="http://purl.org/dc/terms/"/>
    <ds:schemaRef ds:uri="http://schemas.microsoft.com/office/infopath/2007/PartnerControls"/>
    <ds:schemaRef ds:uri="5afb5963-748f-4c93-8110-d37fdc1dce77"/>
    <ds:schemaRef ds:uri="http://www.w3.org/XML/1998/namespace"/>
    <ds:schemaRef ds:uri="http://purl.org/dc/dcmitype/"/>
  </ds:schemaRefs>
</ds:datastoreItem>
</file>

<file path=customXml/itemProps3.xml><?xml version="1.0" encoding="utf-8"?>
<ds:datastoreItem xmlns:ds="http://schemas.openxmlformats.org/officeDocument/2006/customXml" ds:itemID="{21BD639E-9780-49F8-B56E-391FC9BCA0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ESP Leaching Bed</vt:lpstr>
      <vt:lpstr>Calcul minimum length</vt:lpstr>
      <vt:lpstr>Summary - Leaching Bed</vt:lpstr>
      <vt:lpstr>Quantity</vt:lpstr>
      <vt:lpstr>Pump calculator</vt:lpstr>
      <vt:lpstr>Calculs - Perte de charge</vt:lpstr>
      <vt:lpstr>LATtab</vt:lpstr>
      <vt:lpstr>Courbes de pompes</vt:lpstr>
      <vt:lpstr>valeurs pompes</vt:lpstr>
      <vt:lpstr>'Summary - Leaching Bed'!Print_Area</vt:lpstr>
    </vt:vector>
  </TitlesOfParts>
  <Manager/>
  <Company>DBO Expert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François R. Côté</dc:creator>
  <cp:keywords/>
  <dc:description/>
  <cp:lastModifiedBy>Bert Knip</cp:lastModifiedBy>
  <cp:revision/>
  <dcterms:created xsi:type="dcterms:W3CDTF">2008-03-28T13:11:01Z</dcterms:created>
  <dcterms:modified xsi:type="dcterms:W3CDTF">2025-03-05T16:23:12Z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0x010100DC9E48B642488B4BA352CD2E6624428F</vt:lpwstr>
  </property>
  <property fmtid="{D5CDD505-2E9C-101B-9397-08002B2CF9AE}" pid="3" name="MediaServiceImageTags">
    <vt:lpwstr/>
  </property>
</Properties>
</file>